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721"/>
  <workbookPr showInkAnnotation="0" autoCompressPictures="0"/>
  <bookViews>
    <workbookView xWindow="560" yWindow="560" windowWidth="27540" windowHeight="15020" tabRatio="615"/>
  </bookViews>
  <sheets>
    <sheet name="Summary" sheetId="5" r:id="rId1"/>
    <sheet name="Figure" sheetId="9" r:id="rId2"/>
    <sheet name="Calculations" sheetId="1" r:id="rId3"/>
    <sheet name="Sources" sheetId="2" r:id="rId4"/>
    <sheet name="ABB report" sheetId="3" r:id="rId5"/>
    <sheet name="AlliancePipeline" sheetId="6" r:id="rId6"/>
    <sheet name="NEB-MarketableNG productn-2005" sheetId="8" r:id="rId7"/>
    <sheet name="GHG Inventory - BC" sheetId="7" r:id="rId8"/>
    <sheet name="Factors" sheetId="4" r:id="rId9"/>
  </sheets>
  <definedNames>
    <definedName name="_xlnm.Print_Area" localSheetId="6">'NEB-MarketableNG productn-2005'!$A$1:$J$39</definedName>
  </definedNames>
  <calcPr calcId="140000" iterateCount="1" concurrentCalc="0"/>
  <extLst>
    <ext xmlns:mx="http://schemas.microsoft.com/office/mac/excel/2008/main" uri="{7523E5D3-25F3-A5E0-1632-64F254C22452}">
      <mx:ArchID Flags="2"/>
    </ext>
  </extLst>
</workbook>
</file>

<file path=xl/calcChain.xml><?xml version="1.0" encoding="utf-8"?>
<calcChain xmlns="http://schemas.openxmlformats.org/spreadsheetml/2006/main">
  <c r="E8" i="9" l="1"/>
  <c r="D8" i="9"/>
  <c r="E7" i="9"/>
  <c r="D7" i="9"/>
  <c r="E6" i="9"/>
  <c r="D6" i="9"/>
  <c r="E4" i="9"/>
  <c r="E5" i="9"/>
  <c r="D5" i="9"/>
  <c r="E51" i="5"/>
  <c r="L10" i="8"/>
  <c r="L22" i="8"/>
  <c r="L24" i="8"/>
  <c r="L25" i="8"/>
  <c r="D51" i="1"/>
  <c r="D53" i="1"/>
  <c r="D52" i="1"/>
  <c r="D62" i="1"/>
  <c r="D10" i="5"/>
  <c r="E10" i="5"/>
  <c r="E8" i="5"/>
  <c r="E12" i="5"/>
  <c r="F25" i="5"/>
  <c r="D8" i="5"/>
  <c r="D12" i="5"/>
  <c r="F24" i="5"/>
  <c r="F23" i="5"/>
  <c r="E48" i="5"/>
  <c r="E49" i="5"/>
  <c r="D6" i="5"/>
  <c r="E6" i="5"/>
  <c r="F26" i="5"/>
  <c r="E42" i="5"/>
  <c r="E40" i="5"/>
  <c r="E41" i="5"/>
  <c r="F27" i="5"/>
  <c r="E37" i="5"/>
  <c r="E43" i="5"/>
  <c r="E44" i="5"/>
  <c r="E45" i="5"/>
  <c r="J44" i="5"/>
  <c r="E47" i="5"/>
  <c r="E38" i="5"/>
  <c r="E46" i="5"/>
  <c r="E50" i="5"/>
  <c r="J46" i="5"/>
  <c r="J45" i="5"/>
  <c r="J43" i="5"/>
  <c r="J42" i="5"/>
  <c r="J41" i="5"/>
  <c r="J40" i="5"/>
  <c r="F28" i="5"/>
  <c r="F29" i="5"/>
  <c r="AE9" i="7"/>
  <c r="B83" i="1"/>
  <c r="B82" i="1"/>
  <c r="B81" i="1"/>
  <c r="E76" i="1"/>
  <c r="L11" i="8"/>
  <c r="L12" i="8"/>
  <c r="L13" i="8"/>
  <c r="L14" i="8"/>
  <c r="L15" i="8"/>
  <c r="L16" i="8"/>
  <c r="L17" i="8"/>
  <c r="L18" i="8"/>
  <c r="L19" i="8"/>
  <c r="L20" i="8"/>
  <c r="L21" i="8"/>
  <c r="K22" i="8"/>
  <c r="I21" i="8"/>
  <c r="I20" i="8"/>
  <c r="I19" i="8"/>
  <c r="I18" i="8"/>
  <c r="I17" i="8"/>
  <c r="I16" i="8"/>
  <c r="I15" i="8"/>
  <c r="I14" i="8"/>
  <c r="I13" i="8"/>
  <c r="I12" i="8"/>
  <c r="I11" i="8"/>
  <c r="I10" i="8"/>
  <c r="G5" i="7"/>
  <c r="H5" i="7"/>
  <c r="I5" i="7"/>
  <c r="J5" i="7"/>
  <c r="K5" i="7"/>
  <c r="L5" i="7"/>
  <c r="M5" i="7"/>
  <c r="N5" i="7"/>
  <c r="O5" i="7"/>
  <c r="P5" i="7"/>
  <c r="Q5" i="7"/>
  <c r="R5" i="7"/>
  <c r="S5" i="7"/>
  <c r="T5" i="7"/>
  <c r="AF9" i="7"/>
  <c r="AE10" i="7"/>
  <c r="AF10" i="7"/>
  <c r="AE12" i="7"/>
  <c r="AE16" i="7"/>
  <c r="AF16" i="7"/>
  <c r="AE17" i="7"/>
  <c r="AF17" i="7"/>
  <c r="F80" i="7"/>
  <c r="G80" i="7"/>
  <c r="H80" i="7"/>
  <c r="I80" i="7"/>
  <c r="J80" i="7"/>
  <c r="K80" i="7"/>
  <c r="L80" i="7"/>
  <c r="M80" i="7"/>
  <c r="N80" i="7"/>
  <c r="O80" i="7"/>
  <c r="P80" i="7"/>
  <c r="Q80" i="7"/>
  <c r="R80" i="7"/>
  <c r="S80" i="7"/>
  <c r="T80" i="7"/>
  <c r="U80" i="7"/>
  <c r="V80" i="7"/>
  <c r="W80" i="7"/>
  <c r="X80" i="7"/>
  <c r="Y80" i="7"/>
  <c r="E81" i="7"/>
  <c r="F81" i="7"/>
  <c r="G81" i="7"/>
  <c r="H81" i="7"/>
  <c r="I81" i="7"/>
  <c r="J81" i="7"/>
  <c r="K81" i="7"/>
  <c r="L81" i="7"/>
  <c r="M81" i="7"/>
  <c r="N81" i="7"/>
  <c r="O81" i="7"/>
  <c r="P81" i="7"/>
  <c r="Q81" i="7"/>
  <c r="R81" i="7"/>
  <c r="S81" i="7"/>
  <c r="T81" i="7"/>
  <c r="U81" i="7"/>
  <c r="V81" i="7"/>
  <c r="W81" i="7"/>
  <c r="X81" i="7"/>
  <c r="Y81" i="7"/>
  <c r="X82" i="7"/>
  <c r="X83" i="7"/>
  <c r="X84" i="7"/>
  <c r="AB81" i="7"/>
  <c r="Y82" i="7"/>
  <c r="Y83" i="7"/>
  <c r="Y84" i="7"/>
  <c r="AC81" i="7"/>
  <c r="E82" i="7"/>
  <c r="F82" i="7"/>
  <c r="G82" i="7"/>
  <c r="H82" i="7"/>
  <c r="I82" i="7"/>
  <c r="J82" i="7"/>
  <c r="K82" i="7"/>
  <c r="L82" i="7"/>
  <c r="M82" i="7"/>
  <c r="N82" i="7"/>
  <c r="O82" i="7"/>
  <c r="P82" i="7"/>
  <c r="Q82" i="7"/>
  <c r="R82" i="7"/>
  <c r="S82" i="7"/>
  <c r="T82" i="7"/>
  <c r="U82" i="7"/>
  <c r="V82" i="7"/>
  <c r="W82" i="7"/>
  <c r="AB82" i="7"/>
  <c r="AC82" i="7"/>
  <c r="E83" i="7"/>
  <c r="F83" i="7"/>
  <c r="G83" i="7"/>
  <c r="H83" i="7"/>
  <c r="I83" i="7"/>
  <c r="J83" i="7"/>
  <c r="K83" i="7"/>
  <c r="L83" i="7"/>
  <c r="M83" i="7"/>
  <c r="N83" i="7"/>
  <c r="O83" i="7"/>
  <c r="P83" i="7"/>
  <c r="Q83" i="7"/>
  <c r="R83" i="7"/>
  <c r="S83" i="7"/>
  <c r="T83" i="7"/>
  <c r="U83" i="7"/>
  <c r="V83" i="7"/>
  <c r="W83" i="7"/>
  <c r="AB83" i="7"/>
  <c r="AC83" i="7"/>
  <c r="E84" i="7"/>
  <c r="F84" i="7"/>
  <c r="G84" i="7"/>
  <c r="H84" i="7"/>
  <c r="I84" i="7"/>
  <c r="J84" i="7"/>
  <c r="K84" i="7"/>
  <c r="L84" i="7"/>
  <c r="M84" i="7"/>
  <c r="N84" i="7"/>
  <c r="O84" i="7"/>
  <c r="P84" i="7"/>
  <c r="Q84" i="7"/>
  <c r="R84" i="7"/>
  <c r="S84" i="7"/>
  <c r="T84" i="7"/>
  <c r="U84" i="7"/>
  <c r="V84" i="7"/>
  <c r="W84" i="7"/>
  <c r="AB84" i="7"/>
  <c r="AC84" i="7"/>
  <c r="E85" i="7"/>
  <c r="F85" i="7"/>
  <c r="G85" i="7"/>
  <c r="H85" i="7"/>
  <c r="I85" i="7"/>
  <c r="J85" i="7"/>
  <c r="K85" i="7"/>
  <c r="L85" i="7"/>
  <c r="M85" i="7"/>
  <c r="N85" i="7"/>
  <c r="O85" i="7"/>
  <c r="P85" i="7"/>
  <c r="Q85" i="7"/>
  <c r="R85" i="7"/>
  <c r="S85" i="7"/>
  <c r="T85" i="7"/>
  <c r="U85" i="7"/>
  <c r="V85" i="7"/>
  <c r="W85" i="7"/>
  <c r="X85" i="7"/>
  <c r="Y85" i="7"/>
  <c r="F87" i="7"/>
  <c r="G87" i="7"/>
  <c r="H87" i="7"/>
  <c r="I87" i="7"/>
  <c r="J87" i="7"/>
  <c r="K87" i="7"/>
  <c r="L87" i="7"/>
  <c r="M87" i="7"/>
  <c r="N87" i="7"/>
  <c r="O87" i="7"/>
  <c r="P87" i="7"/>
  <c r="Q87" i="7"/>
  <c r="R87" i="7"/>
  <c r="S87" i="7"/>
  <c r="T87" i="7"/>
  <c r="U87" i="7"/>
  <c r="V87" i="7"/>
  <c r="W87" i="7"/>
  <c r="X87" i="7"/>
  <c r="Y87" i="7"/>
  <c r="D23" i="1"/>
  <c r="D44" i="1"/>
  <c r="E83" i="1"/>
  <c r="E82" i="1"/>
  <c r="E81" i="1"/>
  <c r="E84" i="1"/>
  <c r="D33" i="1"/>
  <c r="E72" i="1"/>
  <c r="D39" i="1"/>
  <c r="G83" i="1"/>
  <c r="F83" i="1"/>
  <c r="G82" i="1"/>
  <c r="F82" i="1"/>
  <c r="G81" i="1"/>
  <c r="F81" i="1"/>
  <c r="F23" i="6"/>
  <c r="F21" i="6"/>
  <c r="F18" i="6"/>
  <c r="P16" i="6"/>
  <c r="O16" i="6"/>
  <c r="N16" i="6"/>
  <c r="M16" i="6"/>
  <c r="L16" i="6"/>
  <c r="K16" i="6"/>
  <c r="J16" i="6"/>
  <c r="I16" i="6"/>
  <c r="H16" i="6"/>
  <c r="G16" i="6"/>
  <c r="F16" i="6"/>
  <c r="E16" i="6"/>
  <c r="D16" i="6"/>
  <c r="C16" i="6"/>
  <c r="E38" i="1"/>
  <c r="D45" i="1"/>
  <c r="D40" i="1"/>
  <c r="D30" i="1"/>
  <c r="D17" i="1"/>
  <c r="D46" i="1"/>
  <c r="D14" i="1"/>
  <c r="D41" i="1"/>
  <c r="D57" i="1"/>
  <c r="M27" i="1"/>
  <c r="E74" i="1"/>
  <c r="M26" i="1"/>
  <c r="R26" i="1"/>
  <c r="R39" i="1"/>
  <c r="D11" i="3"/>
  <c r="C11" i="3"/>
  <c r="G72" i="1"/>
  <c r="F72" i="1"/>
  <c r="C187" i="4"/>
  <c r="E179" i="4"/>
  <c r="D179" i="4"/>
  <c r="C179" i="4"/>
  <c r="C81" i="4"/>
  <c r="C79" i="4"/>
  <c r="C75" i="4"/>
  <c r="C76" i="4"/>
  <c r="C64" i="4"/>
  <c r="C21" i="4"/>
  <c r="C49" i="4"/>
  <c r="C50" i="4"/>
  <c r="C51" i="4"/>
  <c r="C52" i="4"/>
  <c r="C53" i="4"/>
  <c r="C55" i="4"/>
  <c r="E51" i="4"/>
  <c r="D51" i="4"/>
  <c r="B51" i="4"/>
  <c r="E50" i="4"/>
  <c r="D50" i="4"/>
  <c r="B50" i="4"/>
  <c r="E49" i="4"/>
  <c r="D49" i="4"/>
  <c r="B49" i="4"/>
  <c r="D46" i="4"/>
  <c r="C25" i="4"/>
  <c r="C40" i="4"/>
  <c r="C41" i="4"/>
  <c r="C42" i="4"/>
  <c r="C43" i="4"/>
  <c r="C44" i="4"/>
  <c r="C46" i="4"/>
  <c r="E42" i="4"/>
  <c r="D42" i="4"/>
  <c r="B42" i="4"/>
  <c r="E40" i="4"/>
  <c r="E41" i="4"/>
  <c r="B40" i="4"/>
  <c r="B41" i="4"/>
  <c r="D40" i="4"/>
  <c r="C22" i="4"/>
  <c r="C23" i="4"/>
  <c r="C30" i="4"/>
  <c r="D6" i="1"/>
</calcChain>
</file>

<file path=xl/comments1.xml><?xml version="1.0" encoding="utf-8"?>
<comments xmlns="http://schemas.openxmlformats.org/spreadsheetml/2006/main">
  <authors>
    <author>Rich Wong</author>
  </authors>
  <commentList>
    <comment ref="C179" authorId="0">
      <text>
        <r>
          <rPr>
            <b/>
            <sz val="9"/>
            <color indexed="81"/>
            <rFont val="Tahoma"/>
            <family val="2"/>
          </rPr>
          <t>Rich Wong:</t>
        </r>
        <r>
          <rPr>
            <sz val="9"/>
            <color indexed="81"/>
            <rFont val="Tahoma"/>
            <family val="2"/>
          </rPr>
          <t xml:space="preserve">
Assumed the same a propane as done by NRCan here:
http://www.oee.nrcan.gc.ca/industrial/technical-info/benchmarking/ctwp/appendix-a.cfm?attr=8.
LPG is available in 3 different mixes that may contain butane:
http://www.propanecarbs.com/propane.html
</t>
        </r>
      </text>
    </comment>
  </commentList>
</comments>
</file>

<file path=xl/sharedStrings.xml><?xml version="1.0" encoding="utf-8"?>
<sst xmlns="http://schemas.openxmlformats.org/spreadsheetml/2006/main" count="812" uniqueCount="547">
  <si>
    <t>LNG terminals</t>
  </si>
  <si>
    <t>annual GHG emissions</t>
  </si>
  <si>
    <t>Million tonnes CO2e</t>
  </si>
  <si>
    <t>Sources</t>
  </si>
  <si>
    <t>Joint assessment report - Kitimat LNG</t>
  </si>
  <si>
    <t>short name</t>
  </si>
  <si>
    <t>Full reference</t>
  </si>
  <si>
    <t>annual LNG export</t>
  </si>
  <si>
    <t>million tonnes</t>
  </si>
  <si>
    <t>Results from ABB report on All Electric LNG plant</t>
  </si>
  <si>
    <t>LNG production</t>
  </si>
  <si>
    <t>million tonnes LNG per year</t>
  </si>
  <si>
    <t>Electric drives</t>
  </si>
  <si>
    <t>Gas turbines</t>
  </si>
  <si>
    <t>Fuel gas consumption</t>
  </si>
  <si>
    <t>mmSCM</t>
  </si>
  <si>
    <t>Kitimat LNG (from reports for NEB)</t>
  </si>
  <si>
    <t>Clean elec option:</t>
  </si>
  <si>
    <t>Electrical demand</t>
  </si>
  <si>
    <t>GWh</t>
  </si>
  <si>
    <t>Common Data Worksheet</t>
  </si>
  <si>
    <t xml:space="preserve">Description </t>
  </si>
  <si>
    <t>Value</t>
  </si>
  <si>
    <t>Units</t>
  </si>
  <si>
    <t>Source</t>
  </si>
  <si>
    <t>Comments</t>
  </si>
  <si>
    <t>GWP</t>
  </si>
  <si>
    <t>Methane GWP (100-yr)</t>
  </si>
  <si>
    <t>multiplier</t>
  </si>
  <si>
    <t>Environment Canada. 2011. National Inventory Report 1990-2009. Greenhouse Gas Sources and Sinks in Canada.</t>
  </si>
  <si>
    <t>Nitrous Oxide GWP (100-yr)</t>
  </si>
  <si>
    <t>Emission Factors</t>
  </si>
  <si>
    <t>Combustion - Diesel</t>
  </si>
  <si>
    <t>gCO2e / L</t>
  </si>
  <si>
    <t xml:space="preserve">Environment Canada. 2011. National Inventory Report 1990-2009. Greenhouse Gas Sources and Sinks in Canada. Annex 8. </t>
  </si>
  <si>
    <t>Combustion - Natural Gas (Ontario, Industrial)</t>
  </si>
  <si>
    <t>gCO2e / m3</t>
  </si>
  <si>
    <t>Combustion - Propane (Residential)</t>
  </si>
  <si>
    <t>Combustion - Natural Gas (BC, marketable, pipelines) - CO2e</t>
  </si>
  <si>
    <r>
      <t xml:space="preserve">Environment Canada. 2011. </t>
    </r>
    <r>
      <rPr>
        <i/>
        <sz val="10"/>
        <rFont val="Arial"/>
        <family val="2"/>
      </rPr>
      <t xml:space="preserve">National Inventory Report 1990-2009. Greenhouse Gas Sources and Sinks in Canada. </t>
    </r>
    <r>
      <rPr>
        <sz val="10"/>
        <rFont val="Arial"/>
        <family val="2"/>
      </rPr>
      <t>Annex 8 Emission Factors. Accessed May. 2011</t>
    </r>
  </si>
  <si>
    <t>Combustion - Natural Gas (BC, marketable, pipelines) - CO2</t>
  </si>
  <si>
    <t>gCO2 / m3</t>
  </si>
  <si>
    <t>Combustion - Natural Gas (BC, marketable, pipelines) - CH4</t>
  </si>
  <si>
    <t>gCH4 / m3</t>
  </si>
  <si>
    <t>Combustion - Natural Gas (BC, marketable, pipelines) - N2O</t>
  </si>
  <si>
    <t>gN2O / m3</t>
  </si>
  <si>
    <t>Combustion - Natural Gas (BC, marketable, industrial) - CO2e</t>
  </si>
  <si>
    <t>Combustion - Natural Gas (BC, marketable, industrial) - CO2</t>
  </si>
  <si>
    <t>Combustion - Natural Gas (BC, marketable, industrial) - CH4</t>
  </si>
  <si>
    <t>Combustion - Natural Gas (BC, marketable, industrial) - N2O</t>
  </si>
  <si>
    <t>GHG Emission Factors (NG and Diesel)</t>
  </si>
  <si>
    <t>Derive NG Combustion EF</t>
  </si>
  <si>
    <t>MJ / m3</t>
  </si>
  <si>
    <t>Combust NG</t>
  </si>
  <si>
    <t>gCO2e/GWh</t>
  </si>
  <si>
    <t>TCO2e/GWh</t>
  </si>
  <si>
    <t>Environment Canada and StatsCan</t>
  </si>
  <si>
    <t>NG Equipment Efficiency</t>
  </si>
  <si>
    <t>Combust NG (includes equipment efficiency)</t>
  </si>
  <si>
    <t>Derive Diesel Generator Combustion EF</t>
  </si>
  <si>
    <t>Combust Diesel</t>
  </si>
  <si>
    <t>gCO2e / GWh</t>
  </si>
  <si>
    <t>TCO2e / GWh</t>
  </si>
  <si>
    <t>Diesel Generator Efficiency</t>
  </si>
  <si>
    <t>Generate Diesel Power (includes efficiency)</t>
  </si>
  <si>
    <t>BC Grid Factor</t>
  </si>
  <si>
    <t>EF - Grid Power - British Columbia CO2e</t>
  </si>
  <si>
    <t>g CO2e/kWh</t>
  </si>
  <si>
    <r>
      <t xml:space="preserve">Environment Canada. 2011. </t>
    </r>
    <r>
      <rPr>
        <i/>
        <sz val="10"/>
        <rFont val="Arial"/>
        <family val="2"/>
      </rPr>
      <t xml:space="preserve">National Inventory Report 1990-2009. Greenhouse Gas Sources and Sinks in Canada. </t>
    </r>
    <r>
      <rPr>
        <sz val="10"/>
        <rFont val="Arial"/>
        <family val="2"/>
      </rPr>
      <t>Annex 11 Emission Factors. Accessed May. 2011</t>
    </r>
  </si>
  <si>
    <t>EF - Grid Power - British Columbia CO2</t>
  </si>
  <si>
    <t>g CO2/kWh</t>
  </si>
  <si>
    <t>EF - Grid Power - British Columbia CH4</t>
  </si>
  <si>
    <t>g CH4/kWh</t>
  </si>
  <si>
    <t>EF - Grid Power - British Columbia N2O</t>
  </si>
  <si>
    <t>g N2O/kWh</t>
  </si>
  <si>
    <t>Conversions</t>
  </si>
  <si>
    <t>Energy</t>
  </si>
  <si>
    <t>Convert - BTU and J</t>
  </si>
  <si>
    <t>Joules/BTU</t>
  </si>
  <si>
    <t>www.onlinconversion.com</t>
  </si>
  <si>
    <t>Convert - BTU and MJ</t>
  </si>
  <si>
    <t>MJ/BTU</t>
  </si>
  <si>
    <t>BTU/MJ</t>
  </si>
  <si>
    <t>Convert - J and TJ</t>
  </si>
  <si>
    <t>J/TJ</t>
  </si>
  <si>
    <t>Convert - GJ and MWh</t>
  </si>
  <si>
    <t>GJ/MWh</t>
  </si>
  <si>
    <t>Convert - GJ and kWh</t>
  </si>
  <si>
    <t>GJ/kWh</t>
  </si>
  <si>
    <t>Calculated</t>
  </si>
  <si>
    <t>Convert - kWh and BTU</t>
  </si>
  <si>
    <t>BTU / kWh</t>
  </si>
  <si>
    <t>Convert - MJ and MWh</t>
  </si>
  <si>
    <t>MJ/MWh</t>
  </si>
  <si>
    <t>Convert - Watt-hours and GJ</t>
  </si>
  <si>
    <t>Wh/GJ</t>
  </si>
  <si>
    <t>Convert - MJ and kWh</t>
  </si>
  <si>
    <t>MJ/kWh</t>
  </si>
  <si>
    <t>Convert - GJ and MJ</t>
  </si>
  <si>
    <t>MJ/GJ</t>
  </si>
  <si>
    <t>Convert - kJ and MJ</t>
  </si>
  <si>
    <t>KJ/MJ</t>
  </si>
  <si>
    <t>Convert - MJ and GWh</t>
  </si>
  <si>
    <t>MJ/GWh</t>
  </si>
  <si>
    <t>Convert - kWh and GWh</t>
  </si>
  <si>
    <t>kWh/GWh</t>
  </si>
  <si>
    <t>Power</t>
  </si>
  <si>
    <t>Convert - Watts and horsepower (electric)</t>
  </si>
  <si>
    <t>watts/hp-el</t>
  </si>
  <si>
    <t>Convert - Watts and horsepower (intl)</t>
  </si>
  <si>
    <t>watts/hp-intl</t>
  </si>
  <si>
    <t>Convert - Watts and horsepower (metric)</t>
  </si>
  <si>
    <t>watts/hp-met</t>
  </si>
  <si>
    <t>Length/Distance</t>
  </si>
  <si>
    <t>Convert - nautical miles and kilometres</t>
  </si>
  <si>
    <t>km / naut-mile</t>
  </si>
  <si>
    <t>Convert - km and miles (intl)</t>
  </si>
  <si>
    <t>km per mile</t>
  </si>
  <si>
    <t>Area</t>
  </si>
  <si>
    <t>Convert - ha and acres</t>
  </si>
  <si>
    <t>hectares/acre</t>
  </si>
  <si>
    <t>Convert - cubic ft and cubic metre</t>
  </si>
  <si>
    <t>sqft / sqm</t>
  </si>
  <si>
    <t>Volume</t>
  </si>
  <si>
    <t>Convert - gallons to litres</t>
  </si>
  <si>
    <t>Litre / gallon (US,Liquid)</t>
  </si>
  <si>
    <t>Convert - cubic feet and cubic metres</t>
  </si>
  <si>
    <t>m3 / ft3</t>
  </si>
  <si>
    <t>Convert - litres and US liquid gallons</t>
  </si>
  <si>
    <t>gallons/L</t>
  </si>
  <si>
    <t>Convert - litres and cubic feet</t>
  </si>
  <si>
    <t>cubic feet / litre</t>
  </si>
  <si>
    <t>Convert - litres and cubic metre</t>
  </si>
  <si>
    <t>L / m3</t>
  </si>
  <si>
    <t>Convert - CCF to cubic feet</t>
  </si>
  <si>
    <t>ft3 / CCF</t>
  </si>
  <si>
    <t>Convert - bbls to cubic metres</t>
  </si>
  <si>
    <t>bbls / m3</t>
  </si>
  <si>
    <r>
      <t xml:space="preserve">StatsCan (2010). </t>
    </r>
    <r>
      <rPr>
        <i/>
        <sz val="10"/>
        <color indexed="8"/>
        <rFont val="Arial"/>
        <family val="2"/>
      </rPr>
      <t>Report on Energy Supply and Demand in Canada.</t>
    </r>
  </si>
  <si>
    <t>Mass/Weight</t>
  </si>
  <si>
    <t>Convert - lbs and kg</t>
  </si>
  <si>
    <t>lbs/kg</t>
  </si>
  <si>
    <t>Convert - kg and ug</t>
  </si>
  <si>
    <t>ug/kg</t>
  </si>
  <si>
    <t>Convert - kg and tonnes</t>
  </si>
  <si>
    <t>kg/tonne</t>
  </si>
  <si>
    <t>Convert - g and kg</t>
  </si>
  <si>
    <t>g/kg</t>
  </si>
  <si>
    <t>Convert - lb and tonnes</t>
  </si>
  <si>
    <t>lbs/tonne</t>
  </si>
  <si>
    <t>Convert - g and lb</t>
  </si>
  <si>
    <t>g/lb</t>
  </si>
  <si>
    <t>Convert - g and mg</t>
  </si>
  <si>
    <t>mg/g</t>
  </si>
  <si>
    <t>Convert - g and pg</t>
  </si>
  <si>
    <t>pg/g</t>
  </si>
  <si>
    <t>Convert - g and ug</t>
  </si>
  <si>
    <t>ug/g</t>
  </si>
  <si>
    <t>Convert - ug and mg</t>
  </si>
  <si>
    <t>ug/mg</t>
  </si>
  <si>
    <t>Convert - ug and ng</t>
  </si>
  <si>
    <t>ng/ug</t>
  </si>
  <si>
    <t>Convert - kg and ton (US, short)</t>
  </si>
  <si>
    <t>kg/ton</t>
  </si>
  <si>
    <t>Convert - ton and tonne</t>
  </si>
  <si>
    <t>tonne/ton</t>
  </si>
  <si>
    <t>Convert - tonnes and tons (US, short)</t>
  </si>
  <si>
    <t>Energy Content</t>
  </si>
  <si>
    <t>Energy Content - Coal (Anthracite)</t>
  </si>
  <si>
    <t>MJ / tonne</t>
  </si>
  <si>
    <r>
      <t xml:space="preserve">StatsCan, 2005. </t>
    </r>
    <r>
      <rPr>
        <i/>
        <sz val="10"/>
        <rFont val="Arial"/>
        <family val="2"/>
      </rPr>
      <t>Report on Energy Supply and Demand in Canada</t>
    </r>
    <r>
      <rPr>
        <sz val="10"/>
        <rFont val="Arial"/>
        <family val="2"/>
      </rPr>
      <t>.</t>
    </r>
  </si>
  <si>
    <t>Energy Content - Coal (imported bituminous)</t>
  </si>
  <si>
    <t>Energy Content - Coal (Canadian bituminous NFLD&amp;Lab, PEI, NS and QC)</t>
  </si>
  <si>
    <t>Energy Content - Coal (Canadian bituminous NB)</t>
  </si>
  <si>
    <t>Energy Content - Coal (Canadian bituminous ON)</t>
  </si>
  <si>
    <t>Energy Content - Coal (Canadian bituminous MB)</t>
  </si>
  <si>
    <t>Energy Content - Coal (Canadian bituminous SK, AB, YK, NWT, NT)</t>
  </si>
  <si>
    <t>Energy Content - Coal (Canadian bituminous BC)</t>
  </si>
  <si>
    <t>Energy Content - Coal (sub-bituminous)</t>
  </si>
  <si>
    <t>Energy Content - Coal (lignite)</t>
  </si>
  <si>
    <t>Energy Content - Coal (Coal Coke)</t>
  </si>
  <si>
    <t>Energy Content - Coal (Coke Oven Gas)</t>
  </si>
  <si>
    <t>MJ / litre</t>
  </si>
  <si>
    <t xml:space="preserve">Energy Content - Propane </t>
  </si>
  <si>
    <t>Energy Content - Butane</t>
  </si>
  <si>
    <t>Energy Content - Ethane</t>
  </si>
  <si>
    <t>Energy Content - Crude Oil</t>
  </si>
  <si>
    <t>Energy Content - Crude Oil (Light and Medium)</t>
  </si>
  <si>
    <t>Energy Content - Crude Oil (Heavy)</t>
  </si>
  <si>
    <t>Energy Content - Crude oil (Pentanes plus)</t>
  </si>
  <si>
    <t>Energy Content - Still gas from refineries</t>
  </si>
  <si>
    <t>Energy Content - Still gas from upgraders</t>
  </si>
  <si>
    <t>Energy Content - Motor Gasoline</t>
  </si>
  <si>
    <t>Energy Content - Kerosene</t>
  </si>
  <si>
    <t>Energy Content - Diesel</t>
  </si>
  <si>
    <t>Energy Content - Light Fuel Oil</t>
  </si>
  <si>
    <t>Energy Content - Heavy Fuel Oil</t>
  </si>
  <si>
    <t>Energy Content - Petroleum Coke from Refineries</t>
  </si>
  <si>
    <t>Energy Content - Petroleum Coke from Upgraders</t>
  </si>
  <si>
    <t>Energy Content - Aviation Gasoline</t>
  </si>
  <si>
    <t>Energy Content - Aviation Turbo Fuel</t>
  </si>
  <si>
    <t>Energy Content - Petrochemical Feedstock</t>
  </si>
  <si>
    <t>Energy Content - Naphtha Specialities</t>
  </si>
  <si>
    <t>Energy Content - Asphalt</t>
  </si>
  <si>
    <t>Energy Content - Lubricating Oils and Greases</t>
  </si>
  <si>
    <t>Energy Content - Other Petroleum Products</t>
  </si>
  <si>
    <t>Energy Content - Natural Gas</t>
  </si>
  <si>
    <t>Energy Content - Steam</t>
  </si>
  <si>
    <t>Energy Content - Solid Wood Waste</t>
  </si>
  <si>
    <t>Energy Content - Spent pulping Liquor</t>
  </si>
  <si>
    <t>kBTU /  klbs</t>
  </si>
  <si>
    <t>Energy Star. Accessed online at http://www.energystar.gov/ia/business/tools_resources/target_finder/help/Energy_Units_Conversion_Table.htm</t>
  </si>
  <si>
    <t>Energy Content - electricity</t>
  </si>
  <si>
    <t>MJ / kWh</t>
  </si>
  <si>
    <r>
      <t xml:space="preserve">NRCan. </t>
    </r>
    <r>
      <rPr>
        <i/>
        <sz val="10"/>
        <rFont val="Arial"/>
        <family val="2"/>
      </rPr>
      <t xml:space="preserve">Comparing Annual Heating Costs. </t>
    </r>
    <r>
      <rPr>
        <sz val="10"/>
        <rFont val="Arial"/>
        <family val="2"/>
      </rPr>
      <t>Accessed online July 2008 at http://www.canren.gc.ca/prod_serv/index.asp?CaId=103&amp;PgId=615.</t>
    </r>
  </si>
  <si>
    <t>Energy Content - hardwood (air dried)</t>
  </si>
  <si>
    <t>MJ / cord</t>
  </si>
  <si>
    <t xml:space="preserve">Energy Content - softwood (air dried) </t>
  </si>
  <si>
    <t xml:space="preserve">Energy Content - mixed hardwood (air dried) </t>
  </si>
  <si>
    <t>Energy Content - wood pellets</t>
  </si>
  <si>
    <t>Energy Content - Liquefied Petroleum Gas (LPG)</t>
  </si>
  <si>
    <t>Energy Content - Complete Tires</t>
  </si>
  <si>
    <t>MJ/Tonne</t>
  </si>
  <si>
    <t>CanMET. 2005. Scrap Tire Recycling in Canada (Table 8-3)</t>
  </si>
  <si>
    <t>EnergyContent - Shredded Tires (Steel Mostly Removed)</t>
  </si>
  <si>
    <t>Material Density</t>
  </si>
  <si>
    <t>Density - Propane</t>
  </si>
  <si>
    <t>kg/m3</t>
  </si>
  <si>
    <t>Clearinghouse</t>
  </si>
  <si>
    <t>kg/L</t>
  </si>
  <si>
    <t>Density - Natural Gas</t>
  </si>
  <si>
    <t>Density - methane</t>
  </si>
  <si>
    <r>
      <t>kg / m</t>
    </r>
    <r>
      <rPr>
        <vertAlign val="superscript"/>
        <sz val="10"/>
        <color indexed="8"/>
        <rFont val="Arial"/>
        <family val="2"/>
      </rPr>
      <t>3</t>
    </r>
  </si>
  <si>
    <t>http://encyclopedia.airliquide.com/Encyclopedia.asp?GasID=41</t>
  </si>
  <si>
    <t xml:space="preserve">Density - LPG’s (liquefied petroleum gases) </t>
  </si>
  <si>
    <t>StatsCan (2010). Report on Energy Supply Demand in Canada 2008</t>
  </si>
  <si>
    <t xml:space="preserve">Density - Still gas </t>
  </si>
  <si>
    <t xml:space="preserve">Density - Aviation gasoline </t>
  </si>
  <si>
    <t xml:space="preserve">Density - Motor gasoline </t>
  </si>
  <si>
    <t xml:space="preserve">Density - Aviation turbo fuel </t>
  </si>
  <si>
    <t xml:space="preserve">Density - Kerosene </t>
  </si>
  <si>
    <t xml:space="preserve">Density - Diesel </t>
  </si>
  <si>
    <t xml:space="preserve">Density - Light fuel oil </t>
  </si>
  <si>
    <t xml:space="preserve">Density - Heavy fuel oil </t>
  </si>
  <si>
    <t xml:space="preserve">Density - Asphalt </t>
  </si>
  <si>
    <t xml:space="preserve">Density - Petroleum coke </t>
  </si>
  <si>
    <t xml:space="preserve">Density - Lubricating oils and greases </t>
  </si>
  <si>
    <t>END WORKSHEET</t>
  </si>
  <si>
    <t>calculated based on electric grid emission factor</t>
  </si>
  <si>
    <t>Gas turbine option</t>
  </si>
  <si>
    <t xml:space="preserve">shaft power effiiciency </t>
  </si>
  <si>
    <t>ABB report - All Electric LNG</t>
  </si>
  <si>
    <t>Link</t>
  </si>
  <si>
    <t>http://www02.abb.com/global/seitp/seitp202.nsf/0/6b7a3e6e25e54af3c125728300487116/$file/All+Electric+brochure.pdf</t>
  </si>
  <si>
    <t xml:space="preserve">Environment Assessment Office, Transport Canada, Environment Canada, Indian and Northern Affairs Canada. 2006. Joint Assessment and Comprehensive Study report. Prepared as a common basis for a provincial Assessment Report and a federal Comprehensive Study Report (CSR) on a proposal by Kitimat LNG Inc. (Proponent). </t>
  </si>
  <si>
    <t>https://www.neb-one.gc.ca/ll-eng/livelink.exe?func=ll&amp;objId=681473&amp;objAction=Open&amp;vernum=1</t>
  </si>
  <si>
    <t>GHG emissions</t>
  </si>
  <si>
    <t>million tonnes CO2e per year</t>
  </si>
  <si>
    <t>ABB report says "tons" but I assume they mean tonnes</t>
  </si>
  <si>
    <t>million standard cubic metres</t>
  </si>
  <si>
    <t>Check</t>
  </si>
  <si>
    <t>million tonnes CO2e</t>
  </si>
  <si>
    <t>calculated based on industrial combustion emission factor</t>
  </si>
  <si>
    <t>calculated based on scaling GHG estimates from ABB report for 6.25 million tonne LNG plant</t>
  </si>
  <si>
    <t>LNG terminal (from CANWEA estimates)</t>
  </si>
  <si>
    <t>Pipelines</t>
  </si>
  <si>
    <t>from Steve Davis report, based on ABB report</t>
  </si>
  <si>
    <t>Steve Davis report</t>
  </si>
  <si>
    <t>steve Davis and Associtates. 2011. Additional Industrial Electricity Load Growth in BC to 2025. Prepared for Canadian Wind Energy Association</t>
  </si>
  <si>
    <t>http://www.canwea.ca/pdf/industrial-load-growth-bc.pdf</t>
  </si>
  <si>
    <t>emission factor for transporting NG in pipeline</t>
  </si>
  <si>
    <t>kt CO2e/billion m3 km</t>
  </si>
  <si>
    <t>Pacific trail pipeline</t>
  </si>
  <si>
    <t>km</t>
  </si>
  <si>
    <t>Spectra pipeline</t>
  </si>
  <si>
    <t>existing pipeline (unlikely to electrify just for incremental load)</t>
  </si>
  <si>
    <t>new pipeline (could be electrified)</t>
  </si>
  <si>
    <t>Pembina assumes that the estimate for GHGs is based on 5 million tonnes LNG export per year, but coiuld be 10 MT</t>
  </si>
  <si>
    <t xml:space="preserve">  Pacific trail</t>
  </si>
  <si>
    <t xml:space="preserve">  Spectra</t>
  </si>
  <si>
    <t xml:space="preserve">total </t>
  </si>
  <si>
    <t>total</t>
  </si>
  <si>
    <t xml:space="preserve">  Pacific trail pipeline</t>
  </si>
  <si>
    <t xml:space="preserve">  Spectra pipeline</t>
  </si>
  <si>
    <t>Natural gas production</t>
  </si>
  <si>
    <t xml:space="preserve">  conventional in BC</t>
  </si>
  <si>
    <t xml:space="preserve">  Montenay</t>
  </si>
  <si>
    <t>Emissions factors for NG production, no actions to reduce GHGs during production</t>
  </si>
  <si>
    <t>TJ/tonnes LNG</t>
  </si>
  <si>
    <t xml:space="preserve">Gas turbine option to supply </t>
  </si>
  <si>
    <t>million tonnes LNG</t>
  </si>
  <si>
    <t>Clean elec option to supply</t>
  </si>
  <si>
    <t xml:space="preserve">assumes pipeline emission factor based on analysis from the Alliance Pipeline, "proclaims itself to be one of the least emitting pipelines" </t>
  </si>
  <si>
    <t>Convert million tonnes LNG to billion cf per day</t>
  </si>
  <si>
    <t>billion m3/d</t>
  </si>
  <si>
    <t>tonnes/TJ</t>
  </si>
  <si>
    <t>higher than convenetional, Pembina report</t>
  </si>
  <si>
    <t xml:space="preserve">  Horn River</t>
  </si>
  <si>
    <t>Plant</t>
  </si>
  <si>
    <t xml:space="preserve">GHG emissions for a </t>
  </si>
  <si>
    <t>Fossil fuel (NG) powered option</t>
  </si>
  <si>
    <t>Pipeline</t>
  </si>
  <si>
    <t>NG production</t>
  </si>
  <si>
    <t>bcf/d (from Davis report DOUBLE CHECK)</t>
  </si>
  <si>
    <t>TJ</t>
  </si>
  <si>
    <t>Assumed mix in 2020</t>
  </si>
  <si>
    <t>BCHydro 2010 forecast, from Pembina report</t>
  </si>
  <si>
    <t xml:space="preserve">For </t>
  </si>
  <si>
    <t>million tonne LNG need per year</t>
  </si>
  <si>
    <t>million tonnes Co2e</t>
  </si>
  <si>
    <t>LNG needs</t>
  </si>
  <si>
    <t>GHG produced</t>
  </si>
  <si>
    <t>LNG and Natural gas</t>
  </si>
  <si>
    <t>http://www.bp.com/conversionfactors.jsp</t>
  </si>
  <si>
    <t>Conversion of million tonnes LNG</t>
  </si>
  <si>
    <t>assumed size of plant</t>
  </si>
  <si>
    <t>billion m3</t>
  </si>
  <si>
    <t>calculated from above assumptions</t>
  </si>
  <si>
    <t>Combustion Emissions</t>
  </si>
  <si>
    <t>(tonnes/year)</t>
  </si>
  <si>
    <t>Fugitive Emissions</t>
  </si>
  <si>
    <t>Venting Emissions</t>
  </si>
  <si>
    <t>Total Emissions (tonnes/year)</t>
  </si>
  <si>
    <t>Facility Type</t>
  </si>
  <si>
    <r>
      <t>CO</t>
    </r>
    <r>
      <rPr>
        <b/>
        <sz val="6.5"/>
        <color theme="1"/>
        <rFont val="Arial"/>
      </rPr>
      <t>2</t>
    </r>
  </si>
  <si>
    <r>
      <t>CH</t>
    </r>
    <r>
      <rPr>
        <b/>
        <sz val="6.5"/>
        <color theme="1"/>
        <rFont val="Arial"/>
      </rPr>
      <t>4</t>
    </r>
  </si>
  <si>
    <r>
      <t>N</t>
    </r>
    <r>
      <rPr>
        <b/>
        <sz val="6.5"/>
        <color theme="1"/>
        <rFont val="Arial"/>
      </rPr>
      <t>2</t>
    </r>
    <r>
      <rPr>
        <b/>
        <sz val="10"/>
        <color theme="1"/>
        <rFont val="Arial"/>
      </rPr>
      <t>O</t>
    </r>
  </si>
  <si>
    <r>
      <t>CO</t>
    </r>
    <r>
      <rPr>
        <b/>
        <sz val="6.5"/>
        <color theme="1"/>
        <rFont val="Arial"/>
      </rPr>
      <t>2</t>
    </r>
    <r>
      <rPr>
        <b/>
        <sz val="10"/>
        <color theme="1"/>
        <rFont val="Arial"/>
      </rPr>
      <t>E</t>
    </r>
  </si>
  <si>
    <t>MainlineCompressorStations</t>
  </si>
  <si>
    <t>Indirect–Mainline</t>
  </si>
  <si>
    <t>----</t>
  </si>
  <si>
    <t>MainlineBlockValves</t>
  </si>
  <si>
    <t>LateralCompressorStations</t>
  </si>
  <si>
    <t>Indirect–LateralCompressors</t>
  </si>
  <si>
    <t>GatheringMeterStations</t>
  </si>
  <si>
    <t>Combustion only - direct only</t>
  </si>
  <si>
    <t>tonnes CO2e per year</t>
  </si>
  <si>
    <t>Table 1. Summary of greenhouse gas emissions at the maximum expected throughput and all units running at 193 km intervals, presented by type of facility, emission source and type of pollutant.</t>
  </si>
  <si>
    <t>System throughput</t>
  </si>
  <si>
    <t>average distance travelled</t>
  </si>
  <si>
    <t>commodity km</t>
  </si>
  <si>
    <t>billion m3 km</t>
  </si>
  <si>
    <t>emissions per commodity km</t>
  </si>
  <si>
    <t>tonnes co2e/billion m3 km</t>
  </si>
  <si>
    <t>Note - I have removed the estimates for indirect emissions since this source used emission factor from alberta and saskatchewan but did not provide electricity consumption estimates</t>
  </si>
  <si>
    <t>The GHGs from BC-based electricity will be much smaller. Since this is a small component of the overall analysis, I have estimated that emissions to be zero.</t>
  </si>
  <si>
    <t>Information from Alliance Pipeline emission estimates from 2000 report - An Action Plan for Managing Greenhouse Gas Emissions</t>
  </si>
  <si>
    <t>Alliance Pipeline</t>
  </si>
  <si>
    <t>Alliance Pipeline Ltd. 2000. An Action Plan for Managing Greenhouse Gas Emissions. Prepared for Canada's Voluntary Climate Registry.</t>
  </si>
  <si>
    <t>http://www.alliance-pipeline.com/contentfiles/72____VCR_Action_Plan.pdf</t>
  </si>
  <si>
    <t>LNG &amp; Alternative Fuel Plant Factors</t>
  </si>
  <si>
    <t>NG Generator efficiency</t>
  </si>
  <si>
    <t>calculated</t>
  </si>
  <si>
    <t>Calculated electricity equivalent of fossil fuel used for compression, based on CO2 emissions that represent combustion emissions</t>
  </si>
  <si>
    <t>combustion only emissions</t>
  </si>
  <si>
    <t>calculated from electricity needs, which were back calculated from GHG emissions for fossil fuel compressors</t>
  </si>
  <si>
    <t>Assumes that all natural gas consumption for pipeline can be converted to electricity</t>
  </si>
  <si>
    <t>above assumption based on Steve Davis approach</t>
  </si>
  <si>
    <t>Total</t>
    <phoneticPr fontId="5" type="noConversion"/>
  </si>
  <si>
    <t>Extraction</t>
    <phoneticPr fontId="5" type="noConversion"/>
  </si>
  <si>
    <t>Production</t>
    <phoneticPr fontId="5" type="noConversion"/>
  </si>
  <si>
    <t>Pipeline compressors</t>
    <phoneticPr fontId="5" type="noConversion"/>
  </si>
  <si>
    <t>Venting, flaring, &amp; unintentional leaks</t>
    <phoneticPr fontId="5" type="noConversion"/>
  </si>
  <si>
    <t>Percentages</t>
    <phoneticPr fontId="5" type="noConversion"/>
  </si>
  <si>
    <t>0.0 Indicates emissions truncated due to rounding</t>
  </si>
  <si>
    <t xml:space="preserve"> - Indicates no emissions</t>
  </si>
  <si>
    <r>
      <t>5</t>
    </r>
    <r>
      <rPr>
        <sz val="10"/>
        <rFont val="Arial"/>
        <family val="2"/>
      </rPr>
      <t xml:space="preserve"> Emissions coming from ammonia production are included in the category Other &amp; Undifferentiated Production at provincial levels.</t>
    </r>
  </si>
  <si>
    <r>
      <t>4</t>
    </r>
    <r>
      <rPr>
        <sz val="10"/>
        <rFont val="Arial"/>
        <family val="2"/>
      </rPr>
      <t xml:space="preserve"> Only SF6 emissions from electrical equipment are included. SF6 emission estimates for semi-conductor manufacturing are only available at national level.</t>
    </r>
  </si>
  <si>
    <r>
      <t xml:space="preserve">3 </t>
    </r>
    <r>
      <rPr>
        <sz val="10"/>
        <rFont val="Arial"/>
        <family val="2"/>
      </rPr>
      <t>The category Petrochemical Production includes emissions coming from production of silicon/calcium carbides; of carbon black; of ethylene; of methanol; of ethylene dichloride; and of styrene.  CO2 emissions from this category are included in Petrochemical Production.</t>
    </r>
  </si>
  <si>
    <r>
      <t>2</t>
    </r>
    <r>
      <rPr>
        <sz val="10"/>
        <rFont val="Arial"/>
        <family val="2"/>
      </rPr>
      <t xml:space="preserve"> Emissions associated with consumption of PFCs are only reported at the national level.</t>
    </r>
  </si>
  <si>
    <r>
      <t>1</t>
    </r>
    <r>
      <rPr>
        <sz val="10"/>
        <rFont val="Arial"/>
        <family val="2"/>
      </rPr>
      <t xml:space="preserve"> Emissions from Fuel Ethanol are reported within the gasoline transportation sub-categories.</t>
    </r>
  </si>
  <si>
    <t>Notes:</t>
  </si>
  <si>
    <t>Waste Incineration</t>
  </si>
  <si>
    <t>c.</t>
  </si>
  <si>
    <t>Wastewater Handling</t>
  </si>
  <si>
    <t xml:space="preserve">b. </t>
  </si>
  <si>
    <t>Solid Waste Disposal on Land</t>
  </si>
  <si>
    <t>a.</t>
  </si>
  <si>
    <t>WASTE</t>
  </si>
  <si>
    <t>Field Burning of Agricultural Residues</t>
  </si>
  <si>
    <t>d.</t>
  </si>
  <si>
    <t>Indirect Sources</t>
  </si>
  <si>
    <t>Pasture, Range and Paddock Manure</t>
  </si>
  <si>
    <t>Direct Sources</t>
  </si>
  <si>
    <t>Agriculture Soils</t>
  </si>
  <si>
    <t>Manure Management</t>
  </si>
  <si>
    <t>b.</t>
  </si>
  <si>
    <t>Enteric Fermentation</t>
  </si>
  <si>
    <t>AGRICULTURE</t>
  </si>
  <si>
    <t>SOLVENT &amp; OTHER PRODUCT USE</t>
  </si>
  <si>
    <r>
      <t>Other &amp; Undifferentiated Production</t>
    </r>
    <r>
      <rPr>
        <b/>
        <vertAlign val="superscript"/>
        <sz val="10"/>
        <rFont val="Arial"/>
        <family val="2"/>
      </rPr>
      <t>5</t>
    </r>
  </si>
  <si>
    <t>e.</t>
  </si>
  <si>
    <r>
      <t>Production and Consumption of Halocarbons and SF</t>
    </r>
    <r>
      <rPr>
        <b/>
        <vertAlign val="subscript"/>
        <sz val="10"/>
        <rFont val="Arial"/>
        <family val="2"/>
      </rPr>
      <t>6</t>
    </r>
    <r>
      <rPr>
        <b/>
        <vertAlign val="superscript"/>
        <sz val="10"/>
        <rFont val="Arial"/>
        <family val="2"/>
      </rPr>
      <t>4</t>
    </r>
  </si>
  <si>
    <r>
      <t>SF</t>
    </r>
    <r>
      <rPr>
        <vertAlign val="subscript"/>
        <sz val="9"/>
        <rFont val="Arial"/>
        <family val="2"/>
      </rPr>
      <t>6</t>
    </r>
    <r>
      <rPr>
        <sz val="9"/>
        <rFont val="Arial"/>
        <family val="2"/>
      </rPr>
      <t xml:space="preserve"> Used in Magnesium Smelters and Casters</t>
    </r>
  </si>
  <si>
    <t>Aluminum Production</t>
  </si>
  <si>
    <t>Iron and Steel Production</t>
  </si>
  <si>
    <t>Metal Production</t>
  </si>
  <si>
    <r>
      <t>Petrochemical Production</t>
    </r>
    <r>
      <rPr>
        <vertAlign val="superscript"/>
        <sz val="9"/>
        <rFont val="Arial"/>
        <family val="2"/>
      </rPr>
      <t>3</t>
    </r>
  </si>
  <si>
    <t>Adipic Acid Production</t>
  </si>
  <si>
    <t>Nitric Acid Production</t>
  </si>
  <si>
    <t>Chemical Industry</t>
  </si>
  <si>
    <t>Mineral Products Use</t>
  </si>
  <si>
    <t>Lime Production</t>
  </si>
  <si>
    <t>Cement Production</t>
  </si>
  <si>
    <t>Mineral Products</t>
  </si>
  <si>
    <r>
      <t>INDUSTRIAL PROCESSES</t>
    </r>
    <r>
      <rPr>
        <b/>
        <vertAlign val="superscript"/>
        <sz val="10"/>
        <color indexed="18"/>
        <rFont val="Arial"/>
        <family val="2"/>
      </rPr>
      <t>2</t>
    </r>
  </si>
  <si>
    <t>Oil and Natural Gas</t>
  </si>
  <si>
    <t>Coal Mining</t>
  </si>
  <si>
    <t>Fugitive Sources</t>
  </si>
  <si>
    <t>Off-Road Diesel</t>
  </si>
  <si>
    <t>Off-Road Gasoline</t>
  </si>
  <si>
    <t>Other Transportation</t>
  </si>
  <si>
    <t>Navigation (Domestic Marine)</t>
  </si>
  <si>
    <t>Railways</t>
  </si>
  <si>
    <t>Propane &amp; Natural Gas Vehicles</t>
  </si>
  <si>
    <t>Heavy-Duty Diesel Vehicles</t>
  </si>
  <si>
    <t>Light-Duty Diesel Trucks</t>
  </si>
  <si>
    <t>Light-Duty Diesel Vehicles</t>
  </si>
  <si>
    <t>Motorcycles</t>
  </si>
  <si>
    <t>Heavy-Duty Gasoline Vehicles</t>
  </si>
  <si>
    <t>Light-Duty Gasoline Trucks</t>
  </si>
  <si>
    <t>Light-Duty Gasoline Vehicles</t>
  </si>
  <si>
    <t>Road Transportation</t>
  </si>
  <si>
    <t>Civil Aviation (Domestic Aviation)</t>
  </si>
  <si>
    <r>
      <t>Transport</t>
    </r>
    <r>
      <rPr>
        <b/>
        <vertAlign val="superscript"/>
        <sz val="10"/>
        <rFont val="Arial"/>
        <family val="2"/>
      </rPr>
      <t>1</t>
    </r>
  </si>
  <si>
    <t>Other sources</t>
    <phoneticPr fontId="5" type="noConversion"/>
  </si>
  <si>
    <t>Agriculture &amp; Forestry</t>
  </si>
  <si>
    <t>Fugitive sources</t>
    <phoneticPr fontId="5" type="noConversion"/>
  </si>
  <si>
    <t>Residential</t>
  </si>
  <si>
    <t>Commercial &amp; Institutional</t>
  </si>
  <si>
    <t>Construction</t>
  </si>
  <si>
    <t>Manufacturing Industries</t>
  </si>
  <si>
    <t>assumption</t>
    <phoneticPr fontId="5" type="noConversion"/>
  </si>
  <si>
    <t>Mining &amp; Oil and Gas Extraction</t>
  </si>
  <si>
    <t>calculated by removing reported refinery emissions</t>
    <phoneticPr fontId="5" type="noConversion"/>
  </si>
  <si>
    <t>Fossil Fuel Production and Refining</t>
  </si>
  <si>
    <t>Electricity and Heat Generation</t>
  </si>
  <si>
    <t>Stationary Combustion Sources</t>
  </si>
  <si>
    <t>Percentage of total emissions</t>
    <phoneticPr fontId="5" type="noConversion"/>
  </si>
  <si>
    <t>Gas Sector Emissions</t>
    <phoneticPr fontId="5" type="noConversion"/>
  </si>
  <si>
    <t>Year</t>
    <phoneticPr fontId="5" type="noConversion"/>
  </si>
  <si>
    <t>ENERGY</t>
  </si>
  <si>
    <t>TOTAL</t>
  </si>
  <si>
    <r>
      <t>kt CO</t>
    </r>
    <r>
      <rPr>
        <i/>
        <vertAlign val="subscript"/>
        <sz val="10"/>
        <color indexed="8"/>
        <rFont val="Arial"/>
        <family val="2"/>
      </rPr>
      <t xml:space="preserve">2 </t>
    </r>
    <r>
      <rPr>
        <i/>
        <sz val="10"/>
        <color indexed="8"/>
        <rFont val="Arial"/>
        <family val="2"/>
      </rPr>
      <t xml:space="preserve"> equivalent</t>
    </r>
  </si>
  <si>
    <t>Part of the gas sector</t>
    <phoneticPr fontId="5" type="noConversion"/>
  </si>
  <si>
    <t>Greenhouse Gas Categories</t>
  </si>
  <si>
    <t>Greenhouse Gas Emission Summary</t>
  </si>
  <si>
    <t>Table 11:</t>
  </si>
  <si>
    <t>Year</t>
  </si>
  <si>
    <t>BRITISH COLUMBIA</t>
  </si>
  <si>
    <t>Region</t>
  </si>
  <si>
    <t>Marketable Natural Gas Production in Canada</t>
  </si>
  <si>
    <t>Production de gaz naturel commercialisable au Canada</t>
  </si>
  <si>
    <r>
      <t>Marketable Production (10</t>
    </r>
    <r>
      <rPr>
        <b/>
        <vertAlign val="superscript"/>
        <sz val="14"/>
        <rFont val="Arial"/>
        <family val="2"/>
      </rPr>
      <t>3</t>
    </r>
    <r>
      <rPr>
        <b/>
        <sz val="14"/>
        <rFont val="Arial"/>
        <family val="2"/>
      </rPr>
      <t>m</t>
    </r>
    <r>
      <rPr>
        <b/>
        <vertAlign val="superscript"/>
        <sz val="14"/>
        <rFont val="Arial"/>
        <family val="2"/>
      </rPr>
      <t>3</t>
    </r>
    <r>
      <rPr>
        <b/>
        <sz val="14"/>
        <rFont val="Arial"/>
        <family val="2"/>
      </rPr>
      <t>/d) / Production de gaz commercialisable (10</t>
    </r>
    <r>
      <rPr>
        <b/>
        <vertAlign val="superscript"/>
        <sz val="14"/>
        <rFont val="Arial"/>
        <family val="2"/>
      </rPr>
      <t>3</t>
    </r>
    <r>
      <rPr>
        <b/>
        <sz val="14"/>
        <rFont val="Arial"/>
        <family val="2"/>
      </rPr>
      <t>m</t>
    </r>
    <r>
      <rPr>
        <b/>
        <vertAlign val="superscript"/>
        <sz val="14"/>
        <rFont val="Arial"/>
        <family val="2"/>
      </rPr>
      <t>3</t>
    </r>
    <r>
      <rPr>
        <b/>
        <sz val="14"/>
        <rFont val="Arial"/>
        <family val="2"/>
      </rPr>
      <t>/j)</t>
    </r>
  </si>
  <si>
    <t>Nova Scotia Nouvelle-Écosse</t>
  </si>
  <si>
    <t>New Brunswick Nouveau-Brunswick</t>
  </si>
  <si>
    <t>Ontario</t>
  </si>
  <si>
    <t>Saskatchewan</t>
  </si>
  <si>
    <t>Alberta</t>
  </si>
  <si>
    <t>British Columbia Colombie-Britannique</t>
  </si>
  <si>
    <t>NWT &amp; Yukon    T.N.-O. et Yukon</t>
  </si>
  <si>
    <t>Canada Total
Total au Canada</t>
  </si>
  <si>
    <t>Total BC production</t>
  </si>
  <si>
    <t>Days per month</t>
  </si>
  <si>
    <t>(10^3 m3)</t>
  </si>
  <si>
    <t>MJ</t>
  </si>
  <si>
    <t>January / Janvier</t>
  </si>
  <si>
    <t>February / Février</t>
  </si>
  <si>
    <t>March / Mars</t>
  </si>
  <si>
    <t>April / Avril</t>
  </si>
  <si>
    <t>May / Mai</t>
  </si>
  <si>
    <t>June / Juin</t>
  </si>
  <si>
    <t>July / Juillet</t>
  </si>
  <si>
    <t>August / Août</t>
  </si>
  <si>
    <t>September / Septembre</t>
  </si>
  <si>
    <t>October / Octobre</t>
  </si>
  <si>
    <t>November / Novembre</t>
  </si>
  <si>
    <t>December / Décembre</t>
  </si>
  <si>
    <t>Source: Public information from reporting agencies and the NEB</t>
  </si>
  <si>
    <t>NWT = North West Territories</t>
  </si>
  <si>
    <t>Notes: 1) Marketable production for the NWT and Yukon are calculated using NEB shrinkage estimates and raw production data publicly available at</t>
  </si>
  <si>
    <t xml:space="preserve">             http://www.stats.gov.nt.ca/Statinfo/industry/non_renew/production.otp for the NWT and </t>
  </si>
  <si>
    <t xml:space="preserve">             http://www.emr.gov.yk.ca/oilandgas/exploration.html#rig for the Yukon.</t>
  </si>
  <si>
    <t xml:space="preserve">           2) British Columbia marketable production is derived from raw gas produced in British Columbia, and does not include raw gas from the NWT or Yukon.</t>
  </si>
  <si>
    <r>
      <t>Source : Renseignements du domaine public provenant des organismes faisant rapport et de l'ON</t>
    </r>
    <r>
      <rPr>
        <sz val="12"/>
        <color theme="1"/>
        <rFont val="Calibri"/>
        <family val="2"/>
        <scheme val="minor"/>
      </rPr>
      <t>É</t>
    </r>
  </si>
  <si>
    <t>T.N.-O. = Territoires du Nord-Ouest</t>
  </si>
  <si>
    <t>Notes : 1) La production de gaz commercialisable des T.N.-O. et du Yukon est calculée à partir des estimations de contraction faites par l'ONÉ et des données de production brute consultables ici :</t>
  </si>
  <si>
    <t xml:space="preserve">             http://www.stats.gov.nt.ca/Statinfo/industry/non_renew/production.otp pour les T.N.-O. et </t>
  </si>
  <si>
    <t xml:space="preserve">             http://www.emr.gov.yk.ca/oilandgas/exploration.html#rig pour le Yukon.</t>
  </si>
  <si>
    <t xml:space="preserve">           2) La production de gaz commercialisable de la Colombie-Britannique est dérivée du gaz brut produit en Colombie-Britannique et ne comprend pas celui qui provient des T.N.-O. ou du Yukon.</t>
  </si>
  <si>
    <t>natural gas energy content</t>
  </si>
  <si>
    <t>http://www.energyshop.com/es/toolbox/Gj_to_m3.cfm</t>
  </si>
  <si>
    <t>MJ/1000 m3</t>
  </si>
  <si>
    <t>based on 2005 emissions and production, prior to significant production from shale gas</t>
  </si>
  <si>
    <t>Size</t>
  </si>
  <si>
    <t>Million tonnes LNG</t>
  </si>
  <si>
    <t>Yes</t>
  </si>
  <si>
    <t>GHGs</t>
  </si>
  <si>
    <t>Yes/No</t>
  </si>
  <si>
    <t>No</t>
  </si>
  <si>
    <t>assumption</t>
  </si>
  <si>
    <t>caculation</t>
  </si>
  <si>
    <t>natural gas required (billion m3)</t>
  </si>
  <si>
    <t>natural gas produced at end-use (billion m3)</t>
  </si>
  <si>
    <t>GHGs from end-use combustion (million tonnes CO2e)</t>
  </si>
  <si>
    <t>million tonnes LNG / billion cubic metres Natural Gas</t>
  </si>
  <si>
    <t>1990 to 2009</t>
  </si>
  <si>
    <t>million tonne LNG facility</t>
  </si>
  <si>
    <t>Renewable energy option</t>
  </si>
  <si>
    <t>assumes LNG facility can be all electric</t>
  </si>
  <si>
    <t>assume new pipeline can be electrified but not existing</t>
  </si>
  <si>
    <t>assume no reductions from upstream production, subtract pipeline emisisons to avoid double counting</t>
  </si>
  <si>
    <t>TOTAL FOR ONE FACILITY</t>
  </si>
  <si>
    <t>Approximation of B.C.'s LNG Strategy</t>
  </si>
  <si>
    <t>estimates</t>
  </si>
  <si>
    <t>Facility 1</t>
  </si>
  <si>
    <t>Facility 2</t>
  </si>
  <si>
    <t>Facility 3</t>
  </si>
  <si>
    <t>This currently does not account for any losses of LNG or natural gas between the LNG facility and the point of end-use. Any actual losses would translate to higher overall GHGs because the losses would be in the form of methane, which is a more potent GHG.</t>
  </si>
  <si>
    <t>Total</t>
  </si>
  <si>
    <t xml:space="preserve">Estimates of GHG emissions due to BC Natural gas strategy </t>
  </si>
  <si>
    <t>assumes use of renewable electricity</t>
  </si>
  <si>
    <t>LNG processed at three LNG plants (billion m3/year)</t>
  </si>
  <si>
    <t>Current B.C. natural gas production (billion m3/year)</t>
  </si>
  <si>
    <t>LNG Strategy Emissions (2020)</t>
  </si>
  <si>
    <t>LNG Facilities</t>
  </si>
  <si>
    <t>Upstream</t>
  </si>
  <si>
    <t>Non-LNG Natural gas Emissions (2020)</t>
  </si>
  <si>
    <t>Allowable B.C. Emissions (2020)</t>
  </si>
  <si>
    <t>Non-natural gas Emissions (2020)</t>
  </si>
  <si>
    <t>Source (if not calculated from this sheet)</t>
  </si>
  <si>
    <t>Non-natural gas emissions (2009)</t>
  </si>
  <si>
    <t>Percentage of 2020 Emissions Quota</t>
  </si>
  <si>
    <t>Estimated from B.C. Climate Action Plan - 2011 levels</t>
  </si>
  <si>
    <t>Percentage reduction required from non-nat gas</t>
  </si>
  <si>
    <t>Numbers in the blog (highlighted in blue)</t>
  </si>
  <si>
    <t>Factor increase in nat gas represnted by LNG</t>
  </si>
  <si>
    <t>LNG facility emissions relative to B.C.'s homes</t>
  </si>
  <si>
    <t>LNG and non-LNG natural gas emissions (2020)</t>
  </si>
  <si>
    <t>Natural gas emissions (2009)</t>
  </si>
  <si>
    <t>Renewable Energy</t>
  </si>
  <si>
    <t>Emissions from burning LNG exports</t>
  </si>
  <si>
    <t>Source of GHGs</t>
  </si>
  <si>
    <t>Radius of pie chart</t>
  </si>
  <si>
    <t>GHGs from LNG and associated extraction/processing</t>
  </si>
  <si>
    <t>GHGs from the rest of B.C.'s economy</t>
  </si>
  <si>
    <t>GHGs from non-LNG extration/processing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</si>
</sst>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_-* #,##0.00_-;\-* #,##0.00_-;_-* &quot;-&quot;??_-;_-@_-"/>
    <numFmt numFmtId="165" formatCode="_-* #,##0_-;\-* #,##0_-;_-* &quot;-&quot;??_-;_-@_-"/>
    <numFmt numFmtId="166" formatCode="_-* #,##0.0_-;\-* #,##0.0_-;_-* &quot;-&quot;??_-;_-@_-"/>
    <numFmt numFmtId="167" formatCode="_-* #,##0.000_-;\-* #,##0.000_-;_-* &quot;-&quot;??_-;_-@_-"/>
    <numFmt numFmtId="168" formatCode="0.0000"/>
    <numFmt numFmtId="169" formatCode="0.0"/>
    <numFmt numFmtId="170" formatCode="#,##0.0"/>
    <numFmt numFmtId="171" formatCode="0.00000"/>
    <numFmt numFmtId="172" formatCode="0.000"/>
    <numFmt numFmtId="173" formatCode="#,##0.000"/>
    <numFmt numFmtId="174" formatCode="_(* #,##0_);_(* \(#,##0\);_(* &quot;-&quot;??_);_(@_)"/>
    <numFmt numFmtId="175" formatCode="[$-409]mmm/yy;@"/>
  </numFmts>
  <fonts count="64"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name val="Calibri"/>
      <scheme val="minor"/>
    </font>
    <font>
      <i/>
      <sz val="12"/>
      <color theme="1"/>
      <name val="Calibri"/>
      <scheme val="minor"/>
    </font>
    <font>
      <sz val="11"/>
      <color theme="1"/>
      <name val="Arial"/>
      <family val="2"/>
    </font>
    <font>
      <b/>
      <sz val="16"/>
      <color indexed="62"/>
      <name val="Arial"/>
      <family val="2"/>
    </font>
    <font>
      <b/>
      <sz val="12"/>
      <color indexed="62"/>
      <name val="Arial"/>
      <family val="2"/>
    </font>
    <font>
      <sz val="12"/>
      <color indexed="62"/>
      <name val="Arial"/>
      <family val="2"/>
    </font>
    <font>
      <sz val="10"/>
      <name val="Arial"/>
      <family val="2"/>
    </font>
    <font>
      <sz val="10"/>
      <color indexed="62"/>
      <name val="Arial"/>
      <family val="2"/>
    </font>
    <font>
      <b/>
      <sz val="14"/>
      <color indexed="62"/>
      <name val="Arial"/>
      <family val="2"/>
    </font>
    <font>
      <sz val="10"/>
      <name val="MS Sans Serif"/>
      <family val="2"/>
    </font>
    <font>
      <sz val="11"/>
      <color indexed="8"/>
      <name val="Arial"/>
      <family val="2"/>
    </font>
    <font>
      <i/>
      <sz val="10"/>
      <name val="Arial"/>
      <family val="2"/>
    </font>
    <font>
      <b/>
      <sz val="10"/>
      <name val="Arial"/>
      <family val="2"/>
    </font>
    <font>
      <sz val="10"/>
      <color indexed="8"/>
      <name val="Arial"/>
      <family val="2"/>
    </font>
    <font>
      <b/>
      <sz val="10"/>
      <color indexed="8"/>
      <name val="Arial"/>
      <family val="2"/>
    </font>
    <font>
      <u/>
      <sz val="10"/>
      <color indexed="12"/>
      <name val="MS Sans Serif"/>
      <family val="2"/>
    </font>
    <font>
      <sz val="10"/>
      <color indexed="10"/>
      <name val="Arial"/>
      <family val="2"/>
    </font>
    <font>
      <i/>
      <sz val="10"/>
      <color indexed="8"/>
      <name val="Arial"/>
      <family val="2"/>
    </font>
    <font>
      <u/>
      <sz val="10"/>
      <color indexed="12"/>
      <name val="Arial"/>
      <family val="2"/>
    </font>
    <font>
      <vertAlign val="superscript"/>
      <sz val="10"/>
      <color indexed="8"/>
      <name val="Arial"/>
      <family val="2"/>
    </font>
    <font>
      <b/>
      <sz val="9"/>
      <color indexed="81"/>
      <name val="Tahoma"/>
      <family val="2"/>
    </font>
    <font>
      <sz val="9"/>
      <color indexed="81"/>
      <name val="Tahoma"/>
      <family val="2"/>
    </font>
    <font>
      <b/>
      <sz val="10"/>
      <color theme="1"/>
      <name val="Arial"/>
    </font>
    <font>
      <b/>
      <sz val="6.5"/>
      <color theme="1"/>
      <name val="Arial"/>
    </font>
    <font>
      <sz val="8"/>
      <color theme="1"/>
      <name val="Arial"/>
    </font>
    <font>
      <sz val="10"/>
      <color theme="1"/>
      <name val="Arial"/>
    </font>
    <font>
      <sz val="12"/>
      <color theme="1"/>
      <name val="Arial"/>
    </font>
    <font>
      <b/>
      <u/>
      <sz val="11"/>
      <color theme="1"/>
      <name val="Arial"/>
      <family val="2"/>
    </font>
    <font>
      <sz val="10"/>
      <name val="Verdana"/>
    </font>
    <font>
      <sz val="10"/>
      <color indexed="9"/>
      <name val="Arial"/>
      <family val="2"/>
    </font>
    <font>
      <sz val="10"/>
      <color indexed="18"/>
      <name val="Arial"/>
      <family val="2"/>
    </font>
    <font>
      <b/>
      <sz val="10"/>
      <color indexed="18"/>
      <name val="Arial"/>
      <family val="2"/>
    </font>
    <font>
      <sz val="9"/>
      <name val="Arial"/>
      <family val="2"/>
    </font>
    <font>
      <vertAlign val="superscript"/>
      <sz val="10"/>
      <name val="Arial"/>
      <family val="2"/>
    </font>
    <font>
      <b/>
      <sz val="9"/>
      <name val="Arial"/>
      <family val="2"/>
    </font>
    <font>
      <b/>
      <vertAlign val="superscript"/>
      <sz val="10"/>
      <name val="Arial"/>
      <family val="2"/>
    </font>
    <font>
      <b/>
      <vertAlign val="subscript"/>
      <sz val="10"/>
      <name val="Arial"/>
      <family val="2"/>
    </font>
    <font>
      <vertAlign val="subscript"/>
      <sz val="9"/>
      <name val="Arial"/>
      <family val="2"/>
    </font>
    <font>
      <vertAlign val="superscript"/>
      <sz val="9"/>
      <name val="Arial"/>
      <family val="2"/>
    </font>
    <font>
      <b/>
      <vertAlign val="superscript"/>
      <sz val="10"/>
      <color indexed="18"/>
      <name val="Arial"/>
      <family val="2"/>
    </font>
    <font>
      <sz val="9"/>
      <color indexed="10"/>
      <name val="Arial"/>
      <family val="2"/>
    </font>
    <font>
      <sz val="10"/>
      <color indexed="12"/>
      <name val="Arial"/>
      <family val="2"/>
    </font>
    <font>
      <sz val="11"/>
      <color indexed="18"/>
      <name val="Arial"/>
      <family val="2"/>
    </font>
    <font>
      <b/>
      <sz val="11"/>
      <color indexed="18"/>
      <name val="Arial"/>
      <family val="2"/>
    </font>
    <font>
      <i/>
      <sz val="8"/>
      <name val="Arial"/>
      <family val="2"/>
    </font>
    <font>
      <i/>
      <vertAlign val="subscript"/>
      <sz val="10"/>
      <color indexed="8"/>
      <name val="Arial"/>
      <family val="2"/>
    </font>
    <font>
      <i/>
      <sz val="8"/>
      <color indexed="8"/>
      <name val="Arial"/>
      <family val="2"/>
    </font>
    <font>
      <b/>
      <sz val="11"/>
      <name val="Arial"/>
      <family val="2"/>
    </font>
    <font>
      <b/>
      <sz val="12"/>
      <color indexed="18"/>
      <name val="Arial"/>
      <family val="2"/>
    </font>
    <font>
      <b/>
      <sz val="28"/>
      <color indexed="10"/>
      <name val="Arial"/>
      <family val="2"/>
    </font>
    <font>
      <b/>
      <i/>
      <sz val="13"/>
      <color indexed="18"/>
      <name val="Arial"/>
      <family val="2"/>
    </font>
    <font>
      <b/>
      <sz val="13"/>
      <color indexed="18"/>
      <name val="Arial"/>
      <family val="2"/>
    </font>
    <font>
      <sz val="10"/>
      <name val="Times New Roman"/>
    </font>
    <font>
      <sz val="11"/>
      <color theme="1"/>
      <name val="Calibri"/>
      <family val="2"/>
      <scheme val="minor"/>
    </font>
    <font>
      <b/>
      <sz val="20"/>
      <name val="Arial"/>
      <family val="2"/>
    </font>
    <font>
      <b/>
      <sz val="14"/>
      <name val="Arial"/>
      <family val="2"/>
    </font>
    <font>
      <b/>
      <vertAlign val="superscript"/>
      <sz val="14"/>
      <name val="Arial"/>
      <family val="2"/>
    </font>
    <font>
      <sz val="8"/>
      <name val="Calibri"/>
      <family val="2"/>
      <scheme val="minor"/>
    </font>
  </fonts>
  <fills count="2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6" tint="0.39997558519241921"/>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4" tint="0.39997558519241921"/>
        <bgColor indexed="64"/>
      </patternFill>
    </fill>
  </fills>
  <borders count="36">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double">
        <color indexed="18"/>
      </bottom>
      <diagonal/>
    </border>
    <border>
      <left/>
      <right/>
      <top/>
      <bottom style="thin">
        <color indexed="18"/>
      </bottom>
      <diagonal/>
    </border>
    <border>
      <left/>
      <right/>
      <top style="thin">
        <color indexed="18"/>
      </top>
      <bottom style="thin">
        <color indexed="18"/>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22">
    <xf numFmtId="0" fontId="0" fillId="0" borderId="0"/>
    <xf numFmtId="43"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0" fontId="15" fillId="0" borderId="0"/>
    <xf numFmtId="164" fontId="16" fillId="0" borderId="0" applyFont="0" applyFill="0" applyBorder="0" applyAlignment="0" applyProtection="0"/>
    <xf numFmtId="9" fontId="16" fillId="0" borderId="0" applyFont="0" applyFill="0" applyBorder="0" applyAlignment="0" applyProtection="0"/>
    <xf numFmtId="0" fontId="21"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4" fillId="0" borderId="0"/>
    <xf numFmtId="43" fontId="34" fillId="0" borderId="0" applyFont="0" applyFill="0" applyBorder="0" applyAlignment="0" applyProtection="0"/>
    <xf numFmtId="9" fontId="34" fillId="0" borderId="0" applyFont="0" applyFill="0" applyBorder="0" applyAlignment="0" applyProtection="0"/>
    <xf numFmtId="3" fontId="12" fillId="0" borderId="0" applyFont="0" applyFill="0" applyBorder="0" applyAlignment="0" applyProtection="0"/>
    <xf numFmtId="0" fontId="59" fillId="3" borderId="0" applyNumberFormat="0" applyBorder="0" applyAlignment="0" applyProtection="0"/>
    <xf numFmtId="0" fontId="59" fillId="5" borderId="0" applyNumberFormat="0" applyBorder="0" applyAlignment="0" applyProtection="0"/>
    <xf numFmtId="0" fontId="59" fillId="7" borderId="0" applyNumberFormat="0" applyBorder="0" applyAlignment="0" applyProtection="0"/>
    <xf numFmtId="0" fontId="59" fillId="9" borderId="0" applyNumberFormat="0" applyBorder="0" applyAlignment="0" applyProtection="0"/>
    <xf numFmtId="0" fontId="59" fillId="11" borderId="0" applyNumberFormat="0" applyBorder="0" applyAlignment="0" applyProtection="0"/>
    <xf numFmtId="0" fontId="59" fillId="13" borderId="0" applyNumberFormat="0" applyBorder="0" applyAlignment="0" applyProtection="0"/>
    <xf numFmtId="0" fontId="59" fillId="4" borderId="0" applyNumberFormat="0" applyBorder="0" applyAlignment="0" applyProtection="0"/>
    <xf numFmtId="0" fontId="59" fillId="6" borderId="0" applyNumberFormat="0" applyBorder="0" applyAlignment="0" applyProtection="0"/>
    <xf numFmtId="0" fontId="59" fillId="8" borderId="0" applyNumberFormat="0" applyBorder="0" applyAlignment="0" applyProtection="0"/>
    <xf numFmtId="0" fontId="59" fillId="10" borderId="0" applyNumberFormat="0" applyBorder="0" applyAlignment="0" applyProtection="0"/>
    <xf numFmtId="0" fontId="59" fillId="12" borderId="0" applyNumberFormat="0" applyBorder="0" applyAlignment="0" applyProtection="0"/>
    <xf numFmtId="0" fontId="59" fillId="14" borderId="0" applyNumberFormat="0" applyBorder="0" applyAlignment="0" applyProtection="0"/>
    <xf numFmtId="164" fontId="12" fillId="0" borderId="0" applyFont="0" applyFill="0" applyBorder="0" applyAlignment="0" applyProtection="0"/>
    <xf numFmtId="43" fontId="12" fillId="0" borderId="0" applyFont="0" applyFill="0" applyBorder="0" applyAlignment="0" applyProtection="0"/>
    <xf numFmtId="44" fontId="34" fillId="0" borderId="0" applyFon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59" fillId="0" borderId="0"/>
    <xf numFmtId="0" fontId="12" fillId="0" borderId="0"/>
    <xf numFmtId="0" fontId="58" fillId="0" borderId="0" applyNumberFormat="0" applyFill="0" applyBorder="0" applyProtection="0">
      <alignment vertical="top" wrapText="1"/>
    </xf>
    <xf numFmtId="0" fontId="12" fillId="0" borderId="0"/>
    <xf numFmtId="0" fontId="59" fillId="2" borderId="1" applyNumberFormat="0" applyFont="0" applyAlignment="0" applyProtection="0"/>
    <xf numFmtId="0" fontId="59" fillId="2" borderId="1" applyNumberFormat="0" applyFont="0" applyAlignment="0" applyProtection="0"/>
    <xf numFmtId="43" fontId="12"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99">
    <xf numFmtId="0" fontId="0" fillId="0" borderId="0" xfId="0"/>
    <xf numFmtId="0" fontId="4" fillId="0" borderId="0" xfId="8"/>
    <xf numFmtId="0" fontId="6" fillId="0" borderId="0" xfId="8" applyFont="1"/>
    <xf numFmtId="0" fontId="7" fillId="0" borderId="0" xfId="0" applyFont="1"/>
    <xf numFmtId="0" fontId="9" fillId="16" borderId="0" xfId="10" applyFont="1" applyFill="1" applyBorder="1" applyAlignment="1"/>
    <xf numFmtId="0" fontId="8" fillId="16" borderId="0" xfId="10" applyFill="1" applyBorder="1" applyAlignment="1"/>
    <xf numFmtId="0" fontId="8" fillId="0" borderId="0" xfId="10"/>
    <xf numFmtId="0" fontId="8" fillId="16" borderId="0" xfId="10" applyFill="1" applyBorder="1" applyAlignment="1" applyProtection="1">
      <protection locked="0"/>
    </xf>
    <xf numFmtId="0" fontId="10" fillId="16" borderId="0" xfId="10" applyFont="1" applyFill="1" applyBorder="1" applyAlignment="1"/>
    <xf numFmtId="0" fontId="11" fillId="16" borderId="0" xfId="10" applyFont="1" applyFill="1" applyBorder="1" applyAlignment="1">
      <alignment horizontal="left"/>
    </xf>
    <xf numFmtId="0" fontId="8" fillId="16" borderId="3" xfId="10" quotePrefix="1" applyFill="1" applyBorder="1" applyAlignment="1"/>
    <xf numFmtId="0" fontId="12" fillId="17" borderId="4" xfId="10" applyFont="1" applyFill="1" applyBorder="1" applyAlignment="1">
      <alignment horizontal="center"/>
    </xf>
    <xf numFmtId="0" fontId="8" fillId="17" borderId="4" xfId="10" applyFill="1" applyBorder="1" applyAlignment="1"/>
    <xf numFmtId="0" fontId="13" fillId="0" borderId="0" xfId="10" applyFont="1"/>
    <xf numFmtId="0" fontId="14" fillId="0" borderId="0" xfId="10" applyFont="1"/>
    <xf numFmtId="0" fontId="12" fillId="0" borderId="0" xfId="10" applyFont="1" applyAlignment="1"/>
    <xf numFmtId="3" fontId="12" fillId="0" borderId="0" xfId="10" applyNumberFormat="1" applyFont="1" applyAlignment="1">
      <alignment horizontal="right"/>
    </xf>
    <xf numFmtId="0" fontId="12" fillId="0" borderId="0" xfId="10" applyFont="1" applyFill="1" applyAlignment="1">
      <alignment horizontal="left"/>
    </xf>
    <xf numFmtId="0" fontId="12" fillId="18" borderId="0" xfId="10" applyFont="1" applyFill="1" applyAlignment="1"/>
    <xf numFmtId="0" fontId="12" fillId="0" borderId="0" xfId="11" applyFont="1" applyFill="1" applyBorder="1" applyAlignment="1"/>
    <xf numFmtId="3" fontId="12" fillId="0" borderId="0" xfId="11" applyNumberFormat="1" applyFont="1" applyFill="1" applyBorder="1" applyAlignment="1">
      <alignment horizontal="right"/>
    </xf>
    <xf numFmtId="164" fontId="12" fillId="0" borderId="0" xfId="12" applyFont="1" applyFill="1" applyBorder="1" applyAlignment="1">
      <alignment horizontal="right"/>
    </xf>
    <xf numFmtId="165" fontId="12" fillId="0" borderId="0" xfId="12" applyNumberFormat="1" applyFont="1" applyFill="1" applyBorder="1" applyAlignment="1">
      <alignment horizontal="right"/>
    </xf>
    <xf numFmtId="166" fontId="12" fillId="0" borderId="0" xfId="12" applyNumberFormat="1" applyFont="1" applyFill="1" applyBorder="1" applyAlignment="1">
      <alignment horizontal="right"/>
    </xf>
    <xf numFmtId="164" fontId="12" fillId="0" borderId="0" xfId="12" applyNumberFormat="1" applyFont="1" applyFill="1" applyBorder="1" applyAlignment="1">
      <alignment horizontal="right"/>
    </xf>
    <xf numFmtId="167" fontId="12" fillId="0" borderId="0" xfId="12" applyNumberFormat="1" applyFont="1" applyFill="1" applyBorder="1" applyAlignment="1">
      <alignment horizontal="right"/>
    </xf>
    <xf numFmtId="0" fontId="18" fillId="0" borderId="0" xfId="11" applyFont="1" applyFill="1" applyBorder="1" applyAlignment="1"/>
    <xf numFmtId="2" fontId="12" fillId="0" borderId="0" xfId="11" applyNumberFormat="1" applyFont="1" applyFill="1" applyBorder="1" applyAlignment="1"/>
    <xf numFmtId="2" fontId="12" fillId="0" borderId="0" xfId="10" applyNumberFormat="1" applyFont="1" applyAlignment="1"/>
    <xf numFmtId="43" fontId="12" fillId="0" borderId="0" xfId="12" applyNumberFormat="1" applyFont="1" applyFill="1" applyBorder="1" applyAlignment="1">
      <alignment horizontal="right"/>
    </xf>
    <xf numFmtId="9" fontId="12" fillId="0" borderId="0" xfId="12" applyNumberFormat="1" applyFont="1" applyFill="1" applyBorder="1" applyAlignment="1">
      <alignment horizontal="right"/>
    </xf>
    <xf numFmtId="9" fontId="12" fillId="0" borderId="0" xfId="13" applyFont="1" applyFill="1" applyBorder="1" applyAlignment="1">
      <alignment horizontal="right"/>
    </xf>
    <xf numFmtId="0" fontId="15" fillId="0" borderId="0" xfId="11" applyFont="1" applyFill="1" applyBorder="1"/>
    <xf numFmtId="0" fontId="19" fillId="0" borderId="0" xfId="10" applyFont="1" applyFill="1" applyBorder="1" applyAlignment="1" applyProtection="1">
      <alignment horizontal="left"/>
    </xf>
    <xf numFmtId="168" fontId="19" fillId="0" borderId="0" xfId="10" applyNumberFormat="1" applyFont="1" applyFill="1" applyBorder="1" applyAlignment="1" applyProtection="1">
      <alignment horizontal="center"/>
    </xf>
    <xf numFmtId="0" fontId="19" fillId="0" borderId="0" xfId="10" applyFont="1" applyFill="1" applyBorder="1" applyAlignment="1" applyProtection="1">
      <alignment horizontal="center"/>
    </xf>
    <xf numFmtId="0" fontId="12" fillId="0" borderId="0" xfId="10" applyFont="1" applyFill="1" applyBorder="1" applyAlignment="1">
      <alignment horizontal="left"/>
    </xf>
    <xf numFmtId="0" fontId="12" fillId="0" borderId="0" xfId="10" applyFont="1"/>
    <xf numFmtId="0" fontId="8" fillId="0" borderId="0" xfId="10" applyFill="1" applyBorder="1" applyAlignment="1"/>
    <xf numFmtId="0" fontId="12" fillId="0" borderId="0" xfId="10" applyFont="1" applyAlignment="1">
      <alignment horizontal="center"/>
    </xf>
    <xf numFmtId="0" fontId="8" fillId="0" borderId="0" xfId="10" applyAlignment="1"/>
    <xf numFmtId="0" fontId="20" fillId="0" borderId="0" xfId="10" applyFont="1" applyFill="1" applyBorder="1" applyAlignment="1" applyProtection="1">
      <alignment horizontal="left"/>
    </xf>
    <xf numFmtId="1" fontId="12" fillId="0" borderId="0" xfId="10" applyNumberFormat="1" applyFont="1" applyAlignment="1">
      <alignment horizontal="right"/>
    </xf>
    <xf numFmtId="0" fontId="12" fillId="0" borderId="0" xfId="10" applyFont="1" applyAlignment="1">
      <alignment horizontal="left"/>
    </xf>
    <xf numFmtId="0" fontId="21" fillId="0" borderId="0" xfId="14" applyFill="1" applyBorder="1" applyAlignment="1">
      <alignment horizontal="left"/>
    </xf>
    <xf numFmtId="0" fontId="12" fillId="0" borderId="0" xfId="10" applyFont="1" applyAlignment="1">
      <alignment horizontal="right"/>
    </xf>
    <xf numFmtId="0" fontId="8" fillId="0" borderId="0" xfId="10" applyFill="1" applyBorder="1" applyAlignment="1" applyProtection="1">
      <alignment horizontal="left"/>
    </xf>
    <xf numFmtId="169" fontId="19" fillId="0" borderId="0" xfId="10" applyNumberFormat="1" applyFont="1" applyFill="1" applyBorder="1" applyAlignment="1" applyProtection="1">
      <alignment horizontal="right"/>
    </xf>
    <xf numFmtId="168" fontId="19" fillId="0" borderId="0" xfId="10" applyNumberFormat="1" applyFont="1" applyFill="1" applyBorder="1" applyAlignment="1" applyProtection="1">
      <alignment horizontal="right"/>
    </xf>
    <xf numFmtId="170" fontId="12" fillId="0" borderId="0" xfId="10" applyNumberFormat="1" applyFont="1" applyAlignment="1">
      <alignment horizontal="right"/>
    </xf>
    <xf numFmtId="1" fontId="19" fillId="0" borderId="0" xfId="10" applyNumberFormat="1" applyFont="1" applyFill="1" applyBorder="1" applyAlignment="1" applyProtection="1">
      <alignment horizontal="right"/>
    </xf>
    <xf numFmtId="171" fontId="19" fillId="0" borderId="0" xfId="10" applyNumberFormat="1" applyFont="1" applyFill="1" applyBorder="1" applyAlignment="1" applyProtection="1">
      <alignment horizontal="right"/>
    </xf>
    <xf numFmtId="172" fontId="12" fillId="0" borderId="0" xfId="10" applyNumberFormat="1" applyFont="1" applyAlignment="1">
      <alignment horizontal="right"/>
    </xf>
    <xf numFmtId="0" fontId="8" fillId="0" borderId="0" xfId="10" applyAlignment="1">
      <alignment horizontal="left"/>
    </xf>
    <xf numFmtId="0" fontId="8" fillId="0" borderId="0" xfId="10" applyAlignment="1">
      <alignment horizontal="right"/>
    </xf>
    <xf numFmtId="169" fontId="8" fillId="0" borderId="0" xfId="10" applyNumberFormat="1" applyAlignment="1">
      <alignment horizontal="right"/>
    </xf>
    <xf numFmtId="0" fontId="8" fillId="0" borderId="0" xfId="10" applyAlignment="1">
      <alignment horizontal="left" indent="2"/>
    </xf>
    <xf numFmtId="0" fontId="22" fillId="0" borderId="0" xfId="10" applyFont="1"/>
    <xf numFmtId="172" fontId="19" fillId="0" borderId="0" xfId="10" applyNumberFormat="1" applyFont="1" applyFill="1" applyBorder="1" applyAlignment="1" applyProtection="1">
      <alignment horizontal="right"/>
    </xf>
    <xf numFmtId="0" fontId="8" fillId="0" borderId="0" xfId="10" applyFont="1" applyFill="1" applyBorder="1" applyAlignment="1" applyProtection="1">
      <alignment horizontal="left"/>
    </xf>
    <xf numFmtId="3" fontId="8" fillId="0" borderId="0" xfId="10" applyNumberFormat="1" applyAlignment="1">
      <alignment horizontal="right"/>
    </xf>
    <xf numFmtId="173" fontId="8" fillId="0" borderId="0" xfId="10" applyNumberFormat="1" applyAlignment="1">
      <alignment horizontal="right"/>
    </xf>
    <xf numFmtId="172" fontId="8" fillId="0" borderId="0" xfId="10" applyNumberFormat="1" applyAlignment="1">
      <alignment horizontal="right"/>
    </xf>
    <xf numFmtId="172" fontId="8" fillId="0" borderId="0" xfId="10" applyNumberFormat="1" applyAlignment="1">
      <alignment horizontal="left"/>
    </xf>
    <xf numFmtId="2" fontId="12" fillId="0" borderId="0" xfId="10" applyNumberFormat="1" applyFont="1" applyAlignment="1">
      <alignment horizontal="left"/>
    </xf>
    <xf numFmtId="4" fontId="12" fillId="0" borderId="0" xfId="10" applyNumberFormat="1" applyFont="1" applyAlignment="1">
      <alignment horizontal="right"/>
    </xf>
    <xf numFmtId="173" fontId="12" fillId="0" borderId="0" xfId="10" applyNumberFormat="1" applyFont="1" applyAlignment="1">
      <alignment horizontal="right"/>
    </xf>
    <xf numFmtId="0" fontId="12" fillId="0" borderId="0" xfId="10" applyFont="1" applyFill="1" applyAlignment="1"/>
    <xf numFmtId="3" fontId="19" fillId="0" borderId="0" xfId="10" applyNumberFormat="1" applyFont="1" applyFill="1" applyBorder="1" applyAlignment="1" applyProtection="1">
      <alignment horizontal="right"/>
    </xf>
    <xf numFmtId="0" fontId="13" fillId="0" borderId="0" xfId="10" applyFont="1" applyAlignment="1"/>
    <xf numFmtId="3" fontId="19" fillId="0" borderId="0" xfId="10" applyNumberFormat="1" applyFont="1" applyFill="1" applyBorder="1" applyAlignment="1" applyProtection="1">
      <alignment horizontal="left"/>
    </xf>
    <xf numFmtId="0" fontId="13" fillId="0" borderId="0" xfId="10" applyFont="1" applyFill="1" applyAlignment="1"/>
    <xf numFmtId="0" fontId="12" fillId="19" borderId="0" xfId="10" applyFont="1" applyFill="1" applyAlignment="1">
      <alignment horizontal="left"/>
    </xf>
    <xf numFmtId="169" fontId="12" fillId="0" borderId="0" xfId="10" applyNumberFormat="1" applyFont="1" applyFill="1" applyAlignment="1">
      <alignment horizontal="right"/>
    </xf>
    <xf numFmtId="0" fontId="24" fillId="0" borderId="0" xfId="14" applyFont="1" applyFill="1" applyAlignment="1" applyProtection="1"/>
    <xf numFmtId="0" fontId="12" fillId="0" borderId="0" xfId="10" applyFont="1" applyFill="1" applyAlignment="1">
      <alignment horizontal="right"/>
    </xf>
    <xf numFmtId="0" fontId="12" fillId="0" borderId="0" xfId="14" applyFont="1" applyFill="1" applyAlignment="1" applyProtection="1"/>
    <xf numFmtId="0" fontId="20" fillId="0" borderId="0" xfId="10" applyFont="1"/>
    <xf numFmtId="9" fontId="0" fillId="0" borderId="0" xfId="0" applyNumberFormat="1"/>
    <xf numFmtId="2" fontId="0" fillId="15" borderId="2" xfId="0" applyNumberFormat="1" applyFill="1" applyBorder="1" applyAlignment="1">
      <alignment wrapText="1"/>
    </xf>
    <xf numFmtId="0" fontId="3" fillId="0" borderId="0" xfId="0" applyFont="1"/>
    <xf numFmtId="172" fontId="0" fillId="0" borderId="0" xfId="0" applyNumberFormat="1"/>
    <xf numFmtId="2" fontId="0" fillId="0" borderId="0" xfId="0" applyNumberFormat="1"/>
    <xf numFmtId="174" fontId="0" fillId="0" borderId="0" xfId="1" applyNumberFormat="1" applyFont="1"/>
    <xf numFmtId="43" fontId="0" fillId="0" borderId="0" xfId="0" applyNumberFormat="1"/>
    <xf numFmtId="0" fontId="0" fillId="0" borderId="5" xfId="0" applyBorder="1" applyAlignment="1">
      <alignment wrapText="1"/>
    </xf>
    <xf numFmtId="0" fontId="0" fillId="0" borderId="5" xfId="0" applyBorder="1"/>
    <xf numFmtId="2" fontId="0" fillId="0" borderId="5" xfId="0" applyNumberFormat="1" applyBorder="1"/>
    <xf numFmtId="43" fontId="0" fillId="0" borderId="5" xfId="0" applyNumberFormat="1" applyBorder="1"/>
    <xf numFmtId="0" fontId="0" fillId="0" borderId="6" xfId="0" applyBorder="1"/>
    <xf numFmtId="0" fontId="0" fillId="0" borderId="2" xfId="0" applyBorder="1"/>
    <xf numFmtId="0" fontId="3" fillId="0" borderId="7" xfId="0" applyFont="1" applyBorder="1"/>
    <xf numFmtId="2" fontId="3" fillId="0" borderId="5" xfId="0" applyNumberFormat="1" applyFont="1" applyBorder="1"/>
    <xf numFmtId="0" fontId="28" fillId="0" borderId="10" xfId="0" applyFont="1" applyBorder="1" applyAlignment="1">
      <alignment vertical="center" wrapText="1"/>
    </xf>
    <xf numFmtId="0" fontId="28" fillId="0" borderId="15" xfId="0" applyFont="1" applyBorder="1" applyAlignment="1">
      <alignment vertical="center" wrapText="1"/>
    </xf>
    <xf numFmtId="0" fontId="30" fillId="0" borderId="10" xfId="0" applyFont="1" applyBorder="1" applyAlignment="1">
      <alignment vertical="center" wrapText="1"/>
    </xf>
    <xf numFmtId="0" fontId="30" fillId="0" borderId="15" xfId="0" applyFont="1" applyBorder="1" applyAlignment="1">
      <alignment vertical="center" wrapText="1"/>
    </xf>
    <xf numFmtId="0" fontId="31" fillId="0" borderId="0" xfId="0" applyFont="1" applyFill="1" applyBorder="1" applyAlignment="1">
      <alignment vertical="center"/>
    </xf>
    <xf numFmtId="0" fontId="32" fillId="0" borderId="0" xfId="0" applyFont="1" applyAlignment="1">
      <alignment vertical="center"/>
    </xf>
    <xf numFmtId="0" fontId="0" fillId="0" borderId="0" xfId="0" applyAlignment="1"/>
    <xf numFmtId="0" fontId="33" fillId="0" borderId="0" xfId="0" applyFont="1"/>
    <xf numFmtId="3" fontId="16" fillId="18" borderId="0" xfId="12" applyNumberFormat="1" applyFont="1" applyFill="1" applyBorder="1" applyAlignment="1">
      <alignment horizontal="center"/>
    </xf>
    <xf numFmtId="1" fontId="0" fillId="0" borderId="0" xfId="0" applyNumberFormat="1"/>
    <xf numFmtId="169" fontId="0" fillId="0" borderId="0" xfId="0" applyNumberFormat="1"/>
    <xf numFmtId="0" fontId="12" fillId="0" borderId="0" xfId="59" applyFont="1"/>
    <xf numFmtId="3" fontId="12" fillId="0" borderId="0" xfId="60" applyNumberFormat="1" applyFont="1"/>
    <xf numFmtId="0" fontId="12" fillId="0" borderId="0" xfId="59" applyFont="1" applyAlignment="1"/>
    <xf numFmtId="9" fontId="12" fillId="0" borderId="0" xfId="61" applyFont="1"/>
    <xf numFmtId="0" fontId="12" fillId="0" borderId="0" xfId="59" applyFont="1" applyBorder="1"/>
    <xf numFmtId="3" fontId="12" fillId="0" borderId="0" xfId="60" applyNumberFormat="1" applyFont="1" applyBorder="1"/>
    <xf numFmtId="0" fontId="12" fillId="0" borderId="0" xfId="59" applyFont="1" applyBorder="1" applyAlignment="1"/>
    <xf numFmtId="9" fontId="12" fillId="0" borderId="0" xfId="61" applyFont="1" applyBorder="1"/>
    <xf numFmtId="0" fontId="35" fillId="0" borderId="0" xfId="59" applyFont="1" applyBorder="1"/>
    <xf numFmtId="9" fontId="36" fillId="0" borderId="0" xfId="61" applyFont="1" applyBorder="1"/>
    <xf numFmtId="0" fontId="37" fillId="0" borderId="0" xfId="59" applyFont="1" applyBorder="1"/>
    <xf numFmtId="0" fontId="37" fillId="0" borderId="0" xfId="59" applyFont="1" applyFill="1" applyBorder="1" applyAlignment="1">
      <alignment horizontal="left" vertical="center"/>
    </xf>
    <xf numFmtId="0" fontId="18" fillId="0" borderId="0" xfId="59" applyFont="1" applyBorder="1"/>
    <xf numFmtId="0" fontId="37" fillId="0" borderId="0" xfId="60" applyNumberFormat="1" applyFont="1" applyBorder="1"/>
    <xf numFmtId="0" fontId="38" fillId="0" borderId="0" xfId="59" applyFont="1" applyBorder="1"/>
    <xf numFmtId="3" fontId="38" fillId="0" borderId="0" xfId="60" applyNumberFormat="1" applyFont="1" applyBorder="1"/>
    <xf numFmtId="3" fontId="37" fillId="0" borderId="0" xfId="60" applyNumberFormat="1" applyFont="1" applyBorder="1"/>
    <xf numFmtId="3" fontId="18" fillId="0" borderId="0" xfId="60" applyNumberFormat="1" applyFont="1" applyBorder="1"/>
    <xf numFmtId="0" fontId="12" fillId="0" borderId="0" xfId="59" applyFont="1" applyFill="1"/>
    <xf numFmtId="0" fontId="12" fillId="0" borderId="0" xfId="59" applyFont="1" applyFill="1" applyAlignment="1"/>
    <xf numFmtId="0" fontId="34" fillId="0" borderId="0" xfId="59" applyFill="1"/>
    <xf numFmtId="0" fontId="39" fillId="0" borderId="0" xfId="59" applyFont="1" applyFill="1" applyAlignment="1"/>
    <xf numFmtId="0" fontId="39" fillId="0" borderId="0" xfId="59" applyFont="1" applyFill="1" applyAlignment="1">
      <alignment horizontal="left"/>
    </xf>
    <xf numFmtId="43" fontId="37" fillId="0" borderId="0" xfId="60" applyFont="1" applyBorder="1"/>
    <xf numFmtId="43" fontId="12" fillId="0" borderId="0" xfId="60" applyFont="1"/>
    <xf numFmtId="166" fontId="12" fillId="0" borderId="0" xfId="60" applyNumberFormat="1" applyFont="1"/>
    <xf numFmtId="165" fontId="12" fillId="0" borderId="0" xfId="60" applyNumberFormat="1" applyFont="1"/>
    <xf numFmtId="0" fontId="12" fillId="0" borderId="0" xfId="59" applyFont="1" applyFill="1" applyBorder="1"/>
    <xf numFmtId="43" fontId="12" fillId="0" borderId="0" xfId="60" applyFont="1" applyBorder="1"/>
    <xf numFmtId="166" fontId="18" fillId="0" borderId="0" xfId="60" applyNumberFormat="1" applyFont="1" applyFill="1" applyBorder="1" applyAlignment="1">
      <alignment horizontal="center" vertical="center"/>
    </xf>
    <xf numFmtId="165" fontId="18" fillId="0" borderId="0" xfId="60" applyNumberFormat="1" applyFont="1" applyFill="1" applyBorder="1" applyAlignment="1">
      <alignment horizontal="center" vertical="center"/>
    </xf>
    <xf numFmtId="0" fontId="12" fillId="0" borderId="0" xfId="59" applyFont="1" applyFill="1" applyBorder="1" applyAlignment="1"/>
    <xf numFmtId="166" fontId="12" fillId="0" borderId="19" xfId="60" applyNumberFormat="1" applyFont="1" applyFill="1" applyBorder="1"/>
    <xf numFmtId="166" fontId="12" fillId="0" borderId="19" xfId="60" applyNumberFormat="1" applyFont="1" applyBorder="1"/>
    <xf numFmtId="0" fontId="12" fillId="0" borderId="19" xfId="59" applyFont="1" applyBorder="1"/>
    <xf numFmtId="0" fontId="18" fillId="0" borderId="19" xfId="59" applyFont="1" applyFill="1" applyBorder="1"/>
    <xf numFmtId="0" fontId="18" fillId="0" borderId="19" xfId="59" applyFont="1" applyFill="1" applyBorder="1" applyAlignment="1"/>
    <xf numFmtId="166" fontId="12" fillId="0" borderId="0" xfId="60" applyNumberFormat="1" applyFont="1" applyFill="1"/>
    <xf numFmtId="0" fontId="18" fillId="0" borderId="0" xfId="59" applyFont="1" applyFill="1"/>
    <xf numFmtId="0" fontId="18" fillId="0" borderId="0" xfId="59" applyFont="1" applyFill="1" applyAlignment="1"/>
    <xf numFmtId="166" fontId="37" fillId="0" borderId="0" xfId="60" applyNumberFormat="1" applyFont="1" applyFill="1"/>
    <xf numFmtId="166" fontId="37" fillId="0" borderId="0" xfId="60" applyNumberFormat="1" applyFont="1"/>
    <xf numFmtId="0" fontId="37" fillId="0" borderId="0" xfId="59" applyFont="1"/>
    <xf numFmtId="0" fontId="37" fillId="0" borderId="0" xfId="59" applyFont="1" applyFill="1"/>
    <xf numFmtId="170" fontId="12" fillId="0" borderId="3" xfId="60" applyNumberFormat="1" applyFont="1" applyFill="1" applyBorder="1"/>
    <xf numFmtId="0" fontId="12" fillId="0" borderId="20" xfId="59" applyFont="1" applyFill="1" applyBorder="1"/>
    <xf numFmtId="0" fontId="37" fillId="0" borderId="20" xfId="59" applyFont="1" applyFill="1" applyBorder="1"/>
    <xf numFmtId="0" fontId="40" fillId="0" borderId="20" xfId="59" applyFont="1" applyFill="1" applyBorder="1"/>
    <xf numFmtId="0" fontId="18" fillId="0" borderId="20" xfId="59" applyFont="1" applyFill="1" applyBorder="1" applyAlignment="1"/>
    <xf numFmtId="170" fontId="38" fillId="0" borderId="0" xfId="60" applyNumberFormat="1" applyFont="1" applyFill="1"/>
    <xf numFmtId="0" fontId="38" fillId="0" borderId="0" xfId="59" applyFont="1" applyFill="1" applyBorder="1"/>
    <xf numFmtId="170" fontId="12" fillId="0" borderId="0" xfId="60" applyNumberFormat="1" applyFont="1" applyFill="1"/>
    <xf numFmtId="0" fontId="18" fillId="0" borderId="0" xfId="59" applyFont="1"/>
    <xf numFmtId="170" fontId="37" fillId="0" borderId="0" xfId="60" applyNumberFormat="1" applyFont="1" applyFill="1"/>
    <xf numFmtId="165" fontId="37" fillId="0" borderId="21" xfId="60" applyNumberFormat="1" applyFont="1" applyBorder="1"/>
    <xf numFmtId="0" fontId="37" fillId="0" borderId="21" xfId="59" applyFont="1" applyBorder="1"/>
    <xf numFmtId="0" fontId="37" fillId="0" borderId="21" xfId="59" applyFont="1" applyFill="1" applyBorder="1"/>
    <xf numFmtId="0" fontId="37" fillId="0" borderId="21" xfId="59" applyFont="1" applyFill="1" applyBorder="1" applyAlignment="1">
      <alignment horizontal="left" vertical="center"/>
    </xf>
    <xf numFmtId="165" fontId="40" fillId="0" borderId="0" xfId="60" applyNumberFormat="1" applyFont="1" applyBorder="1"/>
    <xf numFmtId="0" fontId="18" fillId="0" borderId="0" xfId="59" applyFont="1" applyFill="1" applyBorder="1"/>
    <xf numFmtId="0" fontId="18" fillId="0" borderId="0" xfId="59" applyFont="1" applyFill="1" applyBorder="1" applyAlignment="1"/>
    <xf numFmtId="165" fontId="40" fillId="0" borderId="0" xfId="60" applyNumberFormat="1" applyFont="1"/>
    <xf numFmtId="0" fontId="38" fillId="0" borderId="0" xfId="59" applyFont="1"/>
    <xf numFmtId="0" fontId="38" fillId="0" borderId="0" xfId="59" applyFont="1" applyFill="1"/>
    <xf numFmtId="165" fontId="38" fillId="0" borderId="0" xfId="60" applyNumberFormat="1" applyFont="1"/>
    <xf numFmtId="0" fontId="38" fillId="0" borderId="0" xfId="59" applyFont="1" applyFill="1" applyAlignment="1">
      <alignment horizontal="left"/>
    </xf>
    <xf numFmtId="0" fontId="12" fillId="0" borderId="0" xfId="59" applyFont="1" applyFill="1" applyAlignment="1">
      <alignment horizontal="right"/>
    </xf>
    <xf numFmtId="0" fontId="38" fillId="0" borderId="0" xfId="59" applyFont="1" applyFill="1" applyAlignment="1">
      <alignment horizontal="right"/>
    </xf>
    <xf numFmtId="165" fontId="18" fillId="0" borderId="0" xfId="60" applyNumberFormat="1" applyFont="1"/>
    <xf numFmtId="165" fontId="37" fillId="0" borderId="0" xfId="60" applyNumberFormat="1" applyFont="1"/>
    <xf numFmtId="165" fontId="12" fillId="0" borderId="20" xfId="60" applyNumberFormat="1" applyFont="1" applyFill="1" applyBorder="1"/>
    <xf numFmtId="165" fontId="12" fillId="0" borderId="20" xfId="60" applyNumberFormat="1" applyFont="1" applyBorder="1"/>
    <xf numFmtId="0" fontId="46" fillId="0" borderId="20" xfId="59" applyFont="1" applyFill="1" applyBorder="1"/>
    <xf numFmtId="0" fontId="12" fillId="0" borderId="20" xfId="59" applyFont="1" applyFill="1" applyBorder="1" applyAlignment="1"/>
    <xf numFmtId="165" fontId="12" fillId="0" borderId="0" xfId="60" applyNumberFormat="1" applyFont="1" applyFill="1"/>
    <xf numFmtId="0" fontId="46" fillId="0" borderId="0" xfId="59" applyFont="1" applyFill="1"/>
    <xf numFmtId="165" fontId="18" fillId="0" borderId="0" xfId="60" applyNumberFormat="1" applyFont="1" applyFill="1"/>
    <xf numFmtId="0" fontId="40" fillId="0" borderId="0" xfId="59" applyFont="1" applyFill="1"/>
    <xf numFmtId="166" fontId="38" fillId="0" borderId="0" xfId="60" applyNumberFormat="1" applyFont="1"/>
    <xf numFmtId="0" fontId="12" fillId="0" borderId="0" xfId="59" applyFont="1" applyAlignment="1">
      <alignment horizontal="right"/>
    </xf>
    <xf numFmtId="0" fontId="47" fillId="0" borderId="0" xfId="59" applyFont="1" applyFill="1" applyAlignment="1">
      <alignment horizontal="right"/>
    </xf>
    <xf numFmtId="43" fontId="12" fillId="0" borderId="0" xfId="59" applyNumberFormat="1" applyFont="1"/>
    <xf numFmtId="165" fontId="12" fillId="0" borderId="0" xfId="60" applyNumberFormat="1" applyFont="1" applyAlignment="1"/>
    <xf numFmtId="174" fontId="12" fillId="0" borderId="0" xfId="60" applyNumberFormat="1" applyFont="1"/>
    <xf numFmtId="165" fontId="18" fillId="0" borderId="0" xfId="60" applyNumberFormat="1" applyFont="1" applyAlignment="1"/>
    <xf numFmtId="0" fontId="36" fillId="0" borderId="0" xfId="59" applyFont="1"/>
    <xf numFmtId="0" fontId="37" fillId="0" borderId="0" xfId="59" applyFont="1" applyFill="1" applyBorder="1" applyAlignment="1">
      <alignment horizontal="right" vertical="center" wrapText="1"/>
    </xf>
    <xf numFmtId="0" fontId="36" fillId="0" borderId="0" xfId="59" applyFont="1" applyFill="1"/>
    <xf numFmtId="0" fontId="48" fillId="0" borderId="0" xfId="59" applyFont="1"/>
    <xf numFmtId="165" fontId="37" fillId="0" borderId="19" xfId="60" applyNumberFormat="1" applyFont="1" applyFill="1" applyBorder="1" applyAlignment="1">
      <alignment horizontal="right" vertical="center"/>
    </xf>
    <xf numFmtId="0" fontId="48" fillId="0" borderId="19" xfId="59" applyFont="1" applyFill="1" applyBorder="1" applyAlignment="1">
      <alignment horizontal="right" vertical="center" wrapText="1"/>
    </xf>
    <xf numFmtId="0" fontId="48" fillId="0" borderId="19" xfId="59" applyFont="1" applyFill="1" applyBorder="1"/>
    <xf numFmtId="0" fontId="49" fillId="0" borderId="19" xfId="59" applyFont="1" applyFill="1" applyBorder="1" applyAlignment="1">
      <alignment horizontal="left" vertical="center"/>
    </xf>
    <xf numFmtId="0" fontId="50" fillId="0" borderId="0" xfId="59" applyFont="1" applyAlignment="1"/>
    <xf numFmtId="0" fontId="52" fillId="0" borderId="0" xfId="59" applyFont="1" applyFill="1" applyBorder="1" applyAlignment="1">
      <alignment horizontal="right" vertical="center"/>
    </xf>
    <xf numFmtId="0" fontId="18" fillId="0" borderId="0" xfId="59" applyFont="1" applyAlignment="1"/>
    <xf numFmtId="1" fontId="53" fillId="0" borderId="0" xfId="60" applyNumberFormat="1" applyFont="1" applyFill="1" applyBorder="1" applyAlignment="1">
      <alignment horizontal="right" vertical="center"/>
    </xf>
    <xf numFmtId="0" fontId="53" fillId="0" borderId="0" xfId="59" applyFont="1" applyFill="1" applyBorder="1" applyAlignment="1">
      <alignment horizontal="left" vertical="center"/>
    </xf>
    <xf numFmtId="0" fontId="54" fillId="0" borderId="0" xfId="59" applyFont="1" applyFill="1" applyBorder="1" applyAlignment="1">
      <alignment horizontal="left" vertical="center"/>
    </xf>
    <xf numFmtId="0" fontId="56" fillId="0" borderId="0" xfId="59" applyFont="1" applyFill="1" applyBorder="1" applyAlignment="1">
      <alignment vertical="center"/>
    </xf>
    <xf numFmtId="0" fontId="56" fillId="0" borderId="0" xfId="59" applyFont="1" applyFill="1" applyBorder="1" applyAlignment="1">
      <alignment horizontal="left" vertical="center"/>
    </xf>
    <xf numFmtId="0" fontId="57" fillId="0" borderId="0" xfId="59" applyFont="1" applyFill="1" applyBorder="1" applyAlignment="1">
      <alignment horizontal="left" vertical="center"/>
    </xf>
    <xf numFmtId="0" fontId="58" fillId="0" borderId="0" xfId="59" applyFont="1" applyFill="1" applyBorder="1" applyAlignment="1">
      <alignment vertical="center"/>
    </xf>
    <xf numFmtId="3" fontId="18" fillId="0" borderId="0" xfId="62" applyNumberFormat="1" applyFont="1" applyFill="1" applyBorder="1" applyAlignment="1">
      <alignment vertical="center"/>
    </xf>
    <xf numFmtId="2" fontId="36" fillId="0" borderId="0" xfId="59" applyNumberFormat="1" applyFont="1"/>
    <xf numFmtId="0" fontId="36" fillId="0" borderId="0" xfId="59" applyFont="1" applyFill="1" applyBorder="1" applyAlignment="1">
      <alignment vertical="center"/>
    </xf>
    <xf numFmtId="0" fontId="12" fillId="0" borderId="0" xfId="85"/>
    <xf numFmtId="0" fontId="60" fillId="0" borderId="0" xfId="85" applyFont="1" applyAlignment="1"/>
    <xf numFmtId="0" fontId="60" fillId="0" borderId="0" xfId="85" applyFont="1" applyBorder="1" applyAlignment="1"/>
    <xf numFmtId="0" fontId="12" fillId="0" borderId="0" xfId="85" quotePrefix="1"/>
    <xf numFmtId="0" fontId="18" fillId="0" borderId="8" xfId="85" applyFont="1" applyBorder="1" applyAlignment="1">
      <alignment horizontal="center"/>
    </xf>
    <xf numFmtId="3" fontId="12" fillId="0" borderId="0" xfId="85" applyNumberFormat="1" applyBorder="1" applyAlignment="1">
      <alignment horizontal="center"/>
    </xf>
    <xf numFmtId="3" fontId="12" fillId="0" borderId="30" xfId="85" applyNumberFormat="1" applyFont="1" applyBorder="1" applyAlignment="1">
      <alignment horizontal="center"/>
    </xf>
    <xf numFmtId="3" fontId="12" fillId="0" borderId="23" xfId="85" applyNumberFormat="1" applyFont="1" applyBorder="1" applyAlignment="1">
      <alignment horizontal="center"/>
    </xf>
    <xf numFmtId="3" fontId="12" fillId="0" borderId="13" xfId="85" applyNumberFormat="1" applyBorder="1" applyAlignment="1">
      <alignment horizontal="center"/>
    </xf>
    <xf numFmtId="3" fontId="12" fillId="0" borderId="2" xfId="85" applyNumberFormat="1" applyBorder="1" applyAlignment="1">
      <alignment horizontal="center"/>
    </xf>
    <xf numFmtId="1" fontId="12" fillId="0" borderId="0" xfId="85" applyNumberFormat="1"/>
    <xf numFmtId="174" fontId="12" fillId="0" borderId="0" xfId="97" applyNumberFormat="1" applyFont="1"/>
    <xf numFmtId="0" fontId="18" fillId="0" borderId="9" xfId="85" applyFont="1" applyBorder="1" applyAlignment="1">
      <alignment horizontal="center"/>
    </xf>
    <xf numFmtId="3" fontId="12" fillId="0" borderId="31" xfId="85" applyNumberFormat="1" applyFont="1" applyBorder="1" applyAlignment="1">
      <alignment horizontal="center"/>
    </xf>
    <xf numFmtId="3" fontId="12" fillId="0" borderId="2" xfId="85" applyNumberFormat="1" applyFont="1" applyBorder="1" applyAlignment="1">
      <alignment horizontal="center"/>
    </xf>
    <xf numFmtId="0" fontId="18" fillId="0" borderId="9" xfId="85" applyFont="1" applyBorder="1" applyAlignment="1">
      <alignment horizontal="center" wrapText="1"/>
    </xf>
    <xf numFmtId="0" fontId="18" fillId="0" borderId="10" xfId="85" applyFont="1" applyBorder="1" applyAlignment="1">
      <alignment horizontal="center"/>
    </xf>
    <xf numFmtId="3" fontId="12" fillId="0" borderId="14" xfId="85" applyNumberFormat="1" applyBorder="1" applyAlignment="1">
      <alignment horizontal="center"/>
    </xf>
    <xf numFmtId="3" fontId="12" fillId="0" borderId="32" xfId="85" applyNumberFormat="1" applyFont="1" applyBorder="1" applyAlignment="1">
      <alignment horizontal="center"/>
    </xf>
    <xf numFmtId="3" fontId="12" fillId="0" borderId="28" xfId="85" applyNumberFormat="1" applyFont="1" applyBorder="1" applyAlignment="1">
      <alignment horizontal="center"/>
    </xf>
    <xf numFmtId="3" fontId="12" fillId="0" borderId="15" xfId="85" applyNumberFormat="1" applyBorder="1" applyAlignment="1">
      <alignment horizontal="center"/>
    </xf>
    <xf numFmtId="3" fontId="12" fillId="0" borderId="28" xfId="85" applyNumberFormat="1" applyBorder="1" applyAlignment="1">
      <alignment horizontal="center"/>
    </xf>
    <xf numFmtId="3" fontId="12" fillId="0" borderId="33" xfId="85" applyNumberFormat="1" applyBorder="1" applyAlignment="1">
      <alignment horizontal="center"/>
    </xf>
    <xf numFmtId="0" fontId="12" fillId="0" borderId="0" xfId="85" applyBorder="1" applyAlignment="1">
      <alignment horizontal="left"/>
    </xf>
    <xf numFmtId="174" fontId="12" fillId="0" borderId="0" xfId="85" applyNumberFormat="1"/>
    <xf numFmtId="0" fontId="12" fillId="0" borderId="0" xfId="85" applyFont="1" applyBorder="1" applyAlignment="1">
      <alignment horizontal="left"/>
    </xf>
    <xf numFmtId="0" fontId="12" fillId="0" borderId="0" xfId="85" applyBorder="1" applyAlignment="1"/>
    <xf numFmtId="175" fontId="18" fillId="0" borderId="0" xfId="85" applyNumberFormat="1" applyFont="1" applyFill="1" applyBorder="1"/>
    <xf numFmtId="1" fontId="12" fillId="0" borderId="0" xfId="85" applyNumberFormat="1" applyFill="1" applyBorder="1" applyAlignment="1"/>
    <xf numFmtId="1" fontId="12" fillId="0" borderId="0" xfId="85" applyNumberFormat="1" applyFill="1" applyBorder="1"/>
    <xf numFmtId="0" fontId="12" fillId="0" borderId="0" xfId="85" applyFill="1" applyBorder="1"/>
    <xf numFmtId="0" fontId="12" fillId="0" borderId="0" xfId="85" applyFont="1" applyBorder="1" applyAlignment="1"/>
    <xf numFmtId="3" fontId="16" fillId="18" borderId="0" xfId="12" applyNumberFormat="1" applyFont="1" applyFill="1" applyBorder="1" applyAlignment="1">
      <alignment horizontal="left"/>
    </xf>
    <xf numFmtId="2" fontId="3" fillId="0" borderId="0" xfId="0" applyNumberFormat="1" applyFont="1"/>
    <xf numFmtId="0" fontId="0" fillId="0" borderId="2" xfId="0" applyBorder="1" applyAlignment="1">
      <alignment wrapText="1"/>
    </xf>
    <xf numFmtId="0" fontId="7" fillId="0" borderId="7" xfId="0" applyFont="1" applyBorder="1" applyAlignment="1">
      <alignment wrapText="1"/>
    </xf>
    <xf numFmtId="0" fontId="0" fillId="0" borderId="0" xfId="0" applyFill="1" applyBorder="1"/>
    <xf numFmtId="0" fontId="0" fillId="0" borderId="0" xfId="0" applyAlignment="1">
      <alignment horizontal="left"/>
    </xf>
    <xf numFmtId="0" fontId="0" fillId="0" borderId="0" xfId="0" applyAlignment="1">
      <alignment horizontal="center"/>
    </xf>
    <xf numFmtId="0" fontId="0" fillId="0" borderId="5" xfId="0" applyBorder="1" applyAlignment="1">
      <alignment horizontal="center"/>
    </xf>
    <xf numFmtId="0" fontId="0" fillId="0" borderId="34" xfId="0" applyBorder="1" applyAlignment="1">
      <alignment horizontal="center"/>
    </xf>
    <xf numFmtId="0" fontId="0" fillId="0" borderId="35" xfId="0" applyBorder="1"/>
    <xf numFmtId="0" fontId="0" fillId="0" borderId="34" xfId="0" applyBorder="1"/>
    <xf numFmtId="0" fontId="0" fillId="0" borderId="0" xfId="0" applyAlignment="1">
      <alignment horizontal="left" indent="1"/>
    </xf>
    <xf numFmtId="9" fontId="0" fillId="0" borderId="0" xfId="111" applyFont="1"/>
    <xf numFmtId="169" fontId="0" fillId="20" borderId="0" xfId="0" applyNumberFormat="1" applyFill="1"/>
    <xf numFmtId="9" fontId="0" fillId="20" borderId="0" xfId="111" applyFont="1" applyFill="1"/>
    <xf numFmtId="9" fontId="1" fillId="20" borderId="0" xfId="111" applyFont="1" applyFill="1"/>
    <xf numFmtId="169" fontId="0" fillId="0" borderId="0" xfId="0" applyNumberFormat="1" applyFill="1"/>
    <xf numFmtId="0" fontId="0" fillId="0" borderId="0" xfId="0" applyFill="1"/>
    <xf numFmtId="0" fontId="3" fillId="0" borderId="0" xfId="0" applyFont="1" applyAlignment="1">
      <alignment horizontal="right"/>
    </xf>
    <xf numFmtId="0" fontId="0" fillId="0" borderId="0" xfId="0" applyAlignment="1">
      <alignment horizontal="right"/>
    </xf>
    <xf numFmtId="0" fontId="28" fillId="0" borderId="16" xfId="0" applyFont="1" applyBorder="1" applyAlignment="1">
      <alignment vertical="center" wrapText="1"/>
    </xf>
    <xf numFmtId="0" fontId="28" fillId="0" borderId="11" xfId="0" applyFont="1" applyBorder="1" applyAlignment="1">
      <alignment vertical="center" wrapText="1"/>
    </xf>
    <xf numFmtId="0" fontId="28" fillId="0" borderId="12" xfId="0" applyFont="1" applyBorder="1" applyAlignment="1">
      <alignment vertical="center" wrapText="1"/>
    </xf>
    <xf numFmtId="0" fontId="28" fillId="0" borderId="17" xfId="0" applyFont="1" applyBorder="1" applyAlignment="1">
      <alignment vertical="center" wrapText="1"/>
    </xf>
    <xf numFmtId="0" fontId="28" fillId="0" borderId="0" xfId="0" applyFont="1" applyAlignment="1">
      <alignment vertical="center" wrapText="1"/>
    </xf>
    <xf numFmtId="0" fontId="28" fillId="0" borderId="13" xfId="0" applyFont="1" applyBorder="1" applyAlignment="1">
      <alignment vertical="center" wrapText="1"/>
    </xf>
    <xf numFmtId="0" fontId="28" fillId="0" borderId="18" xfId="0" applyFont="1" applyBorder="1" applyAlignment="1">
      <alignment vertical="center" wrapText="1"/>
    </xf>
    <xf numFmtId="0" fontId="28" fillId="0" borderId="14" xfId="0" applyFont="1" applyBorder="1" applyAlignment="1">
      <alignment vertical="center" wrapText="1"/>
    </xf>
    <xf numFmtId="0" fontId="28" fillId="0" borderId="15" xfId="0" applyFont="1" applyBorder="1" applyAlignment="1">
      <alignment vertical="center" wrapText="1"/>
    </xf>
    <xf numFmtId="0" fontId="28" fillId="0" borderId="0" xfId="0" applyFont="1" applyBorder="1" applyAlignment="1">
      <alignment vertical="center" wrapText="1"/>
    </xf>
    <xf numFmtId="0" fontId="28" fillId="0" borderId="8"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12" fillId="0" borderId="0" xfId="85" applyFont="1" applyBorder="1" applyAlignment="1">
      <alignment horizontal="left"/>
    </xf>
    <xf numFmtId="0" fontId="61" fillId="0" borderId="16" xfId="85" applyFont="1" applyBorder="1" applyAlignment="1">
      <alignment horizontal="center" vertical="center"/>
    </xf>
    <xf numFmtId="0" fontId="61" fillId="0" borderId="11" xfId="85" applyFont="1" applyBorder="1" applyAlignment="1">
      <alignment horizontal="center" vertical="center"/>
    </xf>
    <xf numFmtId="0" fontId="61" fillId="0" borderId="12" xfId="85" applyFont="1" applyBorder="1" applyAlignment="1">
      <alignment horizontal="center" vertical="center"/>
    </xf>
    <xf numFmtId="0" fontId="61" fillId="0" borderId="18" xfId="85" applyFont="1" applyBorder="1" applyAlignment="1">
      <alignment horizontal="center" vertical="center"/>
    </xf>
    <xf numFmtId="0" fontId="61" fillId="0" borderId="14" xfId="85" applyFont="1" applyBorder="1" applyAlignment="1">
      <alignment horizontal="center" vertical="center"/>
    </xf>
    <xf numFmtId="0" fontId="61" fillId="0" borderId="15" xfId="85" applyFont="1" applyBorder="1" applyAlignment="1">
      <alignment horizontal="center" vertical="center"/>
    </xf>
    <xf numFmtId="0" fontId="60" fillId="0" borderId="8" xfId="85" applyFont="1" applyBorder="1" applyAlignment="1">
      <alignment horizontal="center" vertical="center"/>
    </xf>
    <xf numFmtId="0" fontId="60" fillId="0" borderId="9" xfId="85" applyFont="1" applyBorder="1" applyAlignment="1">
      <alignment horizontal="center" vertical="center"/>
    </xf>
    <xf numFmtId="0" fontId="60" fillId="0" borderId="10" xfId="85" applyFont="1" applyBorder="1" applyAlignment="1">
      <alignment horizontal="center" vertical="center"/>
    </xf>
    <xf numFmtId="0" fontId="18" fillId="0" borderId="22" xfId="85" applyFont="1" applyBorder="1" applyAlignment="1">
      <alignment horizontal="center" vertical="center" wrapText="1"/>
    </xf>
    <xf numFmtId="0" fontId="18" fillId="0" borderId="25" xfId="85" applyFont="1" applyBorder="1" applyAlignment="1">
      <alignment horizontal="center" vertical="center" wrapText="1"/>
    </xf>
    <xf numFmtId="0" fontId="18" fillId="0" borderId="27" xfId="85" applyFont="1" applyBorder="1" applyAlignment="1">
      <alignment horizontal="center" vertical="center" wrapText="1"/>
    </xf>
    <xf numFmtId="0" fontId="18" fillId="0" borderId="23" xfId="85" applyFont="1" applyBorder="1" applyAlignment="1">
      <alignment horizontal="center" vertical="center" wrapText="1"/>
    </xf>
    <xf numFmtId="0" fontId="18" fillId="0" borderId="2" xfId="85" applyFont="1" applyBorder="1" applyAlignment="1">
      <alignment horizontal="center" vertical="center" wrapText="1"/>
    </xf>
    <xf numFmtId="0" fontId="18" fillId="0" borderId="28" xfId="85" applyFont="1" applyBorder="1" applyAlignment="1">
      <alignment horizontal="center" vertical="center" wrapText="1"/>
    </xf>
    <xf numFmtId="0" fontId="18" fillId="0" borderId="24" xfId="85" applyFont="1" applyBorder="1" applyAlignment="1">
      <alignment horizontal="center" vertical="center" wrapText="1"/>
    </xf>
    <xf numFmtId="0" fontId="18" fillId="0" borderId="26" xfId="85" applyFont="1" applyBorder="1" applyAlignment="1">
      <alignment horizontal="center" vertical="center" wrapText="1"/>
    </xf>
    <xf numFmtId="0" fontId="18" fillId="0" borderId="29" xfId="85" applyFont="1" applyBorder="1" applyAlignment="1">
      <alignment horizontal="center" vertical="center" wrapText="1"/>
    </xf>
    <xf numFmtId="0" fontId="18" fillId="0" borderId="12" xfId="85" applyFont="1" applyBorder="1" applyAlignment="1">
      <alignment horizontal="center" vertical="center" wrapText="1"/>
    </xf>
    <xf numFmtId="0" fontId="18" fillId="0" borderId="13" xfId="85" applyFont="1" applyBorder="1" applyAlignment="1">
      <alignment horizontal="center" vertical="center" wrapText="1"/>
    </xf>
    <xf numFmtId="0" fontId="18" fillId="0" borderId="15" xfId="85" applyFont="1" applyBorder="1" applyAlignment="1">
      <alignment horizontal="center" vertical="center" wrapText="1"/>
    </xf>
    <xf numFmtId="0" fontId="55" fillId="0" borderId="0" xfId="59" applyFont="1" applyFill="1" applyAlignment="1">
      <alignment horizontal="center"/>
    </xf>
    <xf numFmtId="1" fontId="23" fillId="0" borderId="0" xfId="59" applyNumberFormat="1" applyFont="1" applyFill="1" applyBorder="1" applyAlignment="1" applyProtection="1">
      <alignment horizontal="center" vertical="center"/>
    </xf>
  </cellXfs>
  <cellStyles count="122">
    <cellStyle name="20% - Accent1 2" xfId="63"/>
    <cellStyle name="20% - Accent2 2" xfId="64"/>
    <cellStyle name="20% - Accent3 2" xfId="65"/>
    <cellStyle name="20% - Accent4 2" xfId="66"/>
    <cellStyle name="20% - Accent5 2" xfId="67"/>
    <cellStyle name="20% - Accent6 2" xfId="68"/>
    <cellStyle name="40% - Accent1 2" xfId="69"/>
    <cellStyle name="40% - Accent2 2" xfId="70"/>
    <cellStyle name="40% - Accent3 2" xfId="71"/>
    <cellStyle name="40% - Accent4 2" xfId="72"/>
    <cellStyle name="40% - Accent5 2" xfId="73"/>
    <cellStyle name="40% - Accent6 2" xfId="74"/>
    <cellStyle name="Comma" xfId="1" builtinId="3"/>
    <cellStyle name="Comma 2" xfId="12"/>
    <cellStyle name="Comma 2 2" xfId="97"/>
    <cellStyle name="Comma 3" xfId="60"/>
    <cellStyle name="Comma 3 2" xfId="75"/>
    <cellStyle name="Comma 4" xfId="76"/>
    <cellStyle name="Comma0" xfId="62"/>
    <cellStyle name="Currency 2" xfId="77"/>
    <cellStyle name="Followed Hyperlink" xfId="3" builtinId="9" hidden="1"/>
    <cellStyle name="Followed Hyperlink" xfId="5" builtinId="9" hidden="1"/>
    <cellStyle name="Followed Hyperlink" xfId="7" builtinId="9" hidden="1"/>
    <cellStyle name="Followed Hyperlink" xfId="9"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Hyperlink" xfId="2" builtinId="8" hidden="1"/>
    <cellStyle name="Hyperlink" xfId="4" builtinId="8" hidden="1"/>
    <cellStyle name="Hyperlink" xfId="6" builtinId="8" hidden="1"/>
    <cellStyle name="Hyperlink" xfId="8" builtinId="8"/>
    <cellStyle name="Hyperlink 2" xfId="14"/>
    <cellStyle name="Hyperlink 2 2" xfId="78"/>
    <cellStyle name="Hyperlink 2 3" xfId="79"/>
    <cellStyle name="Hyperlink 2 4" xfId="80"/>
    <cellStyle name="Hyperlink 2 5" xfId="81"/>
    <cellStyle name="Hyperlink 2 6" xfId="82"/>
    <cellStyle name="Hyperlink 3" xfId="83"/>
    <cellStyle name="Hyperlink 4" xfId="84"/>
    <cellStyle name="Normal" xfId="0" builtinId="0"/>
    <cellStyle name="Normal 2" xfId="10"/>
    <cellStyle name="Normal 2 2" xfId="85"/>
    <cellStyle name="Normal 2 3" xfId="86"/>
    <cellStyle name="Normal 2 4" xfId="87"/>
    <cellStyle name="Normal 2 5" xfId="88"/>
    <cellStyle name="Normal 2 6" xfId="89"/>
    <cellStyle name="Normal 3" xfId="59"/>
    <cellStyle name="Normal 4" xfId="90"/>
    <cellStyle name="Normal 5" xfId="91"/>
    <cellStyle name="Normal 5 2" xfId="92"/>
    <cellStyle name="Normal 6" xfId="93"/>
    <cellStyle name="Normal 8" xfId="94"/>
    <cellStyle name="Normal_NG" xfId="11"/>
    <cellStyle name="Note 2" xfId="95"/>
    <cellStyle name="Note 2 2" xfId="96"/>
    <cellStyle name="Percent" xfId="111" builtinId="5"/>
    <cellStyle name="Percent 2" xfId="13"/>
    <cellStyle name="Percent 2 2" xfId="6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270979096705816"/>
          <c:y val="0.0"/>
          <c:w val="0.00475493782004389"/>
          <c:h val="0.0185714285714286"/>
        </c:manualLayout>
      </c:layout>
      <c:pieChart>
        <c:varyColors val="1"/>
        <c:ser>
          <c:idx val="0"/>
          <c:order val="0"/>
          <c:cat>
            <c:strRef>
              <c:f>Figure!$C$4:$C$6</c:f>
              <c:strCache>
                <c:ptCount val="3"/>
                <c:pt idx="0">
                  <c:v>GHGs from LNG and associated extraction/processing</c:v>
                </c:pt>
                <c:pt idx="1">
                  <c:v>GHGs from non-LNG extration/processing</c:v>
                </c:pt>
                <c:pt idx="2">
                  <c:v>GHGs from the rest of B.C.'s economy</c:v>
                </c:pt>
              </c:strCache>
            </c:strRef>
          </c:cat>
          <c:val>
            <c:numRef>
              <c:f>Figure!$E$4:$E$6</c:f>
              <c:numCache>
                <c:formatCode>0.0</c:formatCode>
                <c:ptCount val="3"/>
                <c:pt idx="0">
                  <c:v>17.41793668371092</c:v>
                </c:pt>
                <c:pt idx="1">
                  <c:v>15.26358510011161</c:v>
                </c:pt>
                <c:pt idx="2">
                  <c:v>10.98249647283536</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0"/>
          <c:y val="0.903465185307334"/>
          <c:w val="1.0"/>
          <c:h val="0.0785407820422971"/>
        </c:manualLayout>
      </c:layout>
      <c:overlay val="0"/>
      <c:txPr>
        <a:bodyPr/>
        <a:lstStyle/>
        <a:p>
          <a:pPr>
            <a:defRPr sz="4700"/>
          </a:pPr>
          <a:endParaRPr lang="en-US"/>
        </a:p>
      </c:txPr>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0"/>
          <c:y val="0.0"/>
          <c:w val="0.993478260869565"/>
          <c:h val="1.0"/>
        </c:manualLayout>
      </c:layout>
      <c:pieChart>
        <c:varyColors val="1"/>
        <c:ser>
          <c:idx val="0"/>
          <c:order val="0"/>
          <c:cat>
            <c:strRef>
              <c:f>Figure!$C$4:$C$6</c:f>
              <c:strCache>
                <c:ptCount val="3"/>
                <c:pt idx="0">
                  <c:v>GHGs from LNG and associated extraction/processing</c:v>
                </c:pt>
                <c:pt idx="1">
                  <c:v>GHGs from non-LNG extration/processing</c:v>
                </c:pt>
                <c:pt idx="2">
                  <c:v>GHGs from the rest of B.C.'s economy</c:v>
                </c:pt>
              </c:strCache>
            </c:strRef>
          </c:cat>
          <c:val>
            <c:numRef>
              <c:f>Figure!$D$4:$D$6</c:f>
              <c:numCache>
                <c:formatCode>0.0</c:formatCode>
                <c:ptCount val="3"/>
                <c:pt idx="0">
                  <c:v>0.0</c:v>
                </c:pt>
                <c:pt idx="1">
                  <c:v>13.28470946577994</c:v>
                </c:pt>
                <c:pt idx="2">
                  <c:v>50.47003067028807</c:v>
                </c:pt>
              </c:numCache>
            </c:numRef>
          </c:val>
        </c:ser>
        <c:dLbls>
          <c:showLegendKey val="0"/>
          <c:showVal val="0"/>
          <c:showCatName val="0"/>
          <c:showSerName val="0"/>
          <c:showPercent val="0"/>
          <c:showBubbleSize val="0"/>
          <c:showLeaderLines val="1"/>
        </c:dLbls>
        <c:firstSliceAng val="195"/>
      </c:pieChart>
    </c:plotArea>
    <c:plotVisOnly val="1"/>
    <c:dispBlanksAs val="gap"/>
    <c:showDLblsOverMax val="0"/>
  </c:chart>
  <c:spPr>
    <a:ln>
      <a:noFill/>
    </a:ln>
  </c:spPr>
  <c:printSettings>
    <c:headerFooter/>
    <c:pageMargins b="1.0" l="0.75" r="0.75" t="1.0" header="0.5" footer="0.5"/>
    <c:pageSetup orientation="portrait" horizontalDpi="-4" verticalDpi="-4"/>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0"/>
          <c:y val="0.0"/>
          <c:w val="0.985924913612417"/>
          <c:h val="1.0"/>
        </c:manualLayout>
      </c:layout>
      <c:pieChart>
        <c:varyColors val="1"/>
        <c:ser>
          <c:idx val="0"/>
          <c:order val="0"/>
          <c:cat>
            <c:strRef>
              <c:f>Figure!$C$4:$C$6</c:f>
              <c:strCache>
                <c:ptCount val="3"/>
                <c:pt idx="0">
                  <c:v>GHGs from LNG and associated extraction/processing</c:v>
                </c:pt>
                <c:pt idx="1">
                  <c:v>GHGs from non-LNG extration/processing</c:v>
                </c:pt>
                <c:pt idx="2">
                  <c:v>GHGs from the rest of B.C.'s economy</c:v>
                </c:pt>
              </c:strCache>
            </c:strRef>
          </c:cat>
          <c:val>
            <c:numRef>
              <c:f>Figure!$E$4:$E$6</c:f>
              <c:numCache>
                <c:formatCode>0.0</c:formatCode>
                <c:ptCount val="3"/>
                <c:pt idx="0">
                  <c:v>17.41793668371092</c:v>
                </c:pt>
                <c:pt idx="1">
                  <c:v>15.26358510011161</c:v>
                </c:pt>
                <c:pt idx="2">
                  <c:v>10.98249647283536</c:v>
                </c:pt>
              </c:numCache>
            </c:numRef>
          </c:val>
        </c:ser>
        <c:dLbls>
          <c:showLegendKey val="0"/>
          <c:showVal val="0"/>
          <c:showCatName val="0"/>
          <c:showSerName val="0"/>
          <c:showPercent val="0"/>
          <c:showBubbleSize val="0"/>
          <c:showLeaderLines val="1"/>
        </c:dLbls>
        <c:firstSliceAng val="0"/>
      </c:pieChart>
      <c:spPr>
        <a:ln>
          <a:noFill/>
        </a:ln>
      </c:spPr>
    </c:plotArea>
    <c:plotVisOnly val="1"/>
    <c:dispBlanksAs val="gap"/>
    <c:showDLblsOverMax val="0"/>
  </c:chart>
  <c:spPr>
    <a:ln>
      <a:noFill/>
    </a:ln>
  </c:sp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26</xdr:col>
      <xdr:colOff>203200</xdr:colOff>
      <xdr:row>17</xdr:row>
      <xdr:rowOff>101600</xdr:rowOff>
    </xdr:from>
    <xdr:to>
      <xdr:col>124</xdr:col>
      <xdr:colOff>660400</xdr:colOff>
      <xdr:row>130</xdr:row>
      <xdr:rowOff>101600</xdr:rowOff>
    </xdr:to>
    <xdr:grpSp>
      <xdr:nvGrpSpPr>
        <xdr:cNvPr id="8" name="Group 7"/>
        <xdr:cNvGrpSpPr/>
      </xdr:nvGrpSpPr>
      <xdr:grpSpPr>
        <a:xfrm>
          <a:off x="13106400" y="3556000"/>
          <a:ext cx="35306000" cy="22961600"/>
          <a:chOff x="5689600" y="1117600"/>
          <a:chExt cx="35306000" cy="22961600"/>
        </a:xfrm>
      </xdr:grpSpPr>
      <xdr:graphicFrame macro="">
        <xdr:nvGraphicFramePr>
          <xdr:cNvPr id="4" name="Chart 3"/>
          <xdr:cNvGraphicFramePr>
            <a:graphicFrameLocks/>
          </xdr:cNvGraphicFramePr>
        </xdr:nvGraphicFramePr>
        <xdr:xfrm>
          <a:off x="5689600" y="1117600"/>
          <a:ext cx="35306000" cy="229616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 name="Chart 1"/>
          <xdr:cNvGraphicFramePr/>
        </xdr:nvGraphicFramePr>
        <xdr:xfrm>
          <a:off x="7226300" y="4235449"/>
          <a:ext cx="17462500" cy="17178931"/>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xdr:cNvGraphicFramePr>
            <a:graphicFrameLocks/>
          </xdr:cNvGraphicFramePr>
        </xdr:nvGraphicFramePr>
        <xdr:xfrm>
          <a:off x="25704800" y="6146800"/>
          <a:ext cx="14122400" cy="13923626"/>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xdr:cNvSpPr txBox="1"/>
        </xdr:nvSpPr>
        <xdr:spPr>
          <a:xfrm>
            <a:off x="10974597" y="1422400"/>
            <a:ext cx="8670011" cy="2308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7200" b="1"/>
              <a:t>2009 Actual Emissions</a:t>
            </a:r>
          </a:p>
          <a:p>
            <a:r>
              <a:rPr lang="en-US" sz="7200"/>
              <a:t>(64 megatonnes)</a:t>
            </a:r>
          </a:p>
        </xdr:txBody>
      </xdr:sp>
      <xdr:sp macro="" textlink="">
        <xdr:nvSpPr>
          <xdr:cNvPr id="7" name="TextBox 6"/>
          <xdr:cNvSpPr txBox="1"/>
        </xdr:nvSpPr>
        <xdr:spPr>
          <a:xfrm>
            <a:off x="25858032" y="1524000"/>
            <a:ext cx="12343568" cy="3416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7200" b="1"/>
              <a:t>2020</a:t>
            </a:r>
            <a:r>
              <a:rPr lang="en-US" sz="7200" b="1" baseline="0"/>
              <a:t> Hypothetical </a:t>
            </a:r>
            <a:r>
              <a:rPr lang="en-US" sz="7200" b="1"/>
              <a:t>Emissions based on legislated target  </a:t>
            </a:r>
          </a:p>
          <a:p>
            <a:pPr algn="ctr"/>
            <a:r>
              <a:rPr lang="en-US" sz="7200"/>
              <a:t>(44 megatonnes)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127000</xdr:rowOff>
    </xdr:from>
    <xdr:to>
      <xdr:col>2</xdr:col>
      <xdr:colOff>889000</xdr:colOff>
      <xdr:row>0</xdr:row>
      <xdr:rowOff>1041400</xdr:rowOff>
    </xdr:to>
    <xdr:pic>
      <xdr:nvPicPr>
        <xdr:cNvPr id="2" name="Picture 1" descr="r4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27000"/>
          <a:ext cx="36957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1155700</xdr:colOff>
      <xdr:row>36</xdr:row>
      <xdr:rowOff>101600</xdr:rowOff>
    </xdr:from>
    <xdr:to>
      <xdr:col>9</xdr:col>
      <xdr:colOff>1003300</xdr:colOff>
      <xdr:row>38</xdr:row>
      <xdr:rowOff>12700</xdr:rowOff>
    </xdr:to>
    <xdr:pic>
      <xdr:nvPicPr>
        <xdr:cNvPr id="3" name="Picture 2" descr="canada red"/>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5700" y="7048500"/>
          <a:ext cx="1041400" cy="21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www.onlinconversion.com/" TargetMode="External"/><Relationship Id="rId2" Type="http://schemas.openxmlformats.org/officeDocument/2006/relationships/hyperlink" Target="http://www.energyshop.com/es/toolbox/Gj_to_m3.cf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eb-one.gc.ca/ll-eng/livelink.exe?func=ll&amp;objId=681473&amp;objAction=Open&amp;vernum=1"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0" Type="http://schemas.openxmlformats.org/officeDocument/2006/relationships/hyperlink" Target="http://www.onlinconversion.com/" TargetMode="External"/><Relationship Id="rId21" Type="http://schemas.openxmlformats.org/officeDocument/2006/relationships/hyperlink" Target="http://www.onlinconversion.com/" TargetMode="External"/><Relationship Id="rId22" Type="http://schemas.openxmlformats.org/officeDocument/2006/relationships/hyperlink" Target="http://www.onlinconversion.com/" TargetMode="External"/><Relationship Id="rId23" Type="http://schemas.openxmlformats.org/officeDocument/2006/relationships/hyperlink" Target="http://www.onlinconversion.com/" TargetMode="External"/><Relationship Id="rId24" Type="http://schemas.openxmlformats.org/officeDocument/2006/relationships/hyperlink" Target="http://www.onlinconversion.com/" TargetMode="External"/><Relationship Id="rId25" Type="http://schemas.openxmlformats.org/officeDocument/2006/relationships/hyperlink" Target="http://www.onlinconversion.com/" TargetMode="External"/><Relationship Id="rId26" Type="http://schemas.openxmlformats.org/officeDocument/2006/relationships/hyperlink" Target="http://www.onlinconversion.com/" TargetMode="External"/><Relationship Id="rId27" Type="http://schemas.openxmlformats.org/officeDocument/2006/relationships/hyperlink" Target="http://www.onlinconversion.com/" TargetMode="External"/><Relationship Id="rId28" Type="http://schemas.openxmlformats.org/officeDocument/2006/relationships/hyperlink" Target="http://www.onlinconversion.com/" TargetMode="External"/><Relationship Id="rId29" Type="http://schemas.openxmlformats.org/officeDocument/2006/relationships/hyperlink" Target="http://www.onlinconversion.com/" TargetMode="External"/><Relationship Id="rId1" Type="http://schemas.openxmlformats.org/officeDocument/2006/relationships/hyperlink" Target="mailto:matthewm@pembina.org" TargetMode="External"/><Relationship Id="rId2" Type="http://schemas.openxmlformats.org/officeDocument/2006/relationships/hyperlink" Target="mailto:richw@pembina.org" TargetMode="External"/><Relationship Id="rId3" Type="http://schemas.openxmlformats.org/officeDocument/2006/relationships/hyperlink" Target="mailto:jeremym@pembina.org" TargetMode="External"/><Relationship Id="rId4" Type="http://schemas.openxmlformats.org/officeDocument/2006/relationships/hyperlink" Target="http://www.onlinconversion.com/" TargetMode="External"/><Relationship Id="rId5" Type="http://schemas.openxmlformats.org/officeDocument/2006/relationships/hyperlink" Target="http://www.onlinconversion.com/" TargetMode="External"/><Relationship Id="rId30" Type="http://schemas.openxmlformats.org/officeDocument/2006/relationships/hyperlink" Target="http://www.onlinconversion.com/" TargetMode="External"/><Relationship Id="rId31" Type="http://schemas.openxmlformats.org/officeDocument/2006/relationships/hyperlink" Target="http://www.onlinconversion.com/" TargetMode="External"/><Relationship Id="rId32" Type="http://schemas.openxmlformats.org/officeDocument/2006/relationships/hyperlink" Target="http://www.onlinconversion.com/" TargetMode="External"/><Relationship Id="rId9" Type="http://schemas.openxmlformats.org/officeDocument/2006/relationships/hyperlink" Target="http://www.onlinconversion.com/" TargetMode="External"/><Relationship Id="rId6" Type="http://schemas.openxmlformats.org/officeDocument/2006/relationships/hyperlink" Target="http://www.onlinconversion.com/" TargetMode="External"/><Relationship Id="rId7" Type="http://schemas.openxmlformats.org/officeDocument/2006/relationships/hyperlink" Target="http://www.onlinconversion.com/" TargetMode="External"/><Relationship Id="rId8" Type="http://schemas.openxmlformats.org/officeDocument/2006/relationships/hyperlink" Target="http://www.onlinconversion.com/" TargetMode="External"/><Relationship Id="rId33" Type="http://schemas.openxmlformats.org/officeDocument/2006/relationships/hyperlink" Target="http://www.onlinconversion.com/" TargetMode="External"/><Relationship Id="rId34" Type="http://schemas.openxmlformats.org/officeDocument/2006/relationships/hyperlink" Target="http://www.onlinconversion.com/" TargetMode="External"/><Relationship Id="rId35" Type="http://schemas.openxmlformats.org/officeDocument/2006/relationships/hyperlink" Target="http://www.onlinconversion.com/" TargetMode="External"/><Relationship Id="rId36" Type="http://schemas.openxmlformats.org/officeDocument/2006/relationships/hyperlink" Target="http://www.onlinconversion.com/" TargetMode="External"/><Relationship Id="rId10" Type="http://schemas.openxmlformats.org/officeDocument/2006/relationships/hyperlink" Target="http://www.onlinconversion.com/" TargetMode="External"/><Relationship Id="rId11" Type="http://schemas.openxmlformats.org/officeDocument/2006/relationships/hyperlink" Target="http://www.onlinconversion.com/" TargetMode="External"/><Relationship Id="rId12" Type="http://schemas.openxmlformats.org/officeDocument/2006/relationships/hyperlink" Target="http://www.onlinconversion.com/" TargetMode="External"/><Relationship Id="rId13" Type="http://schemas.openxmlformats.org/officeDocument/2006/relationships/hyperlink" Target="http://www.onlinconversion.com/" TargetMode="External"/><Relationship Id="rId14" Type="http://schemas.openxmlformats.org/officeDocument/2006/relationships/hyperlink" Target="http://www.onlinconversion.com/" TargetMode="External"/><Relationship Id="rId15" Type="http://schemas.openxmlformats.org/officeDocument/2006/relationships/hyperlink" Target="http://www.onlinconversion.com/" TargetMode="External"/><Relationship Id="rId16" Type="http://schemas.openxmlformats.org/officeDocument/2006/relationships/hyperlink" Target="http://www.onlinconversion.com/" TargetMode="External"/><Relationship Id="rId17" Type="http://schemas.openxmlformats.org/officeDocument/2006/relationships/hyperlink" Target="http://www.onlinconversion.com/" TargetMode="External"/><Relationship Id="rId18" Type="http://schemas.openxmlformats.org/officeDocument/2006/relationships/hyperlink" Target="http://www.onlinconversion.com/" TargetMode="External"/><Relationship Id="rId19" Type="http://schemas.openxmlformats.org/officeDocument/2006/relationships/hyperlink" Target="http://www.onlinconversion.com/" TargetMode="External"/><Relationship Id="rId37" Type="http://schemas.openxmlformats.org/officeDocument/2006/relationships/hyperlink" Target="http://www.onlinconversion.com/" TargetMode="External"/><Relationship Id="rId38" Type="http://schemas.openxmlformats.org/officeDocument/2006/relationships/hyperlink" Target="http://www.onlinconversion.com/" TargetMode="External"/><Relationship Id="rId39" Type="http://schemas.openxmlformats.org/officeDocument/2006/relationships/hyperlink" Target="http://www.onlinconversion.com/" TargetMode="External"/><Relationship Id="rId40" Type="http://schemas.openxmlformats.org/officeDocument/2006/relationships/hyperlink" Target="http://www.onlinconversion.com/" TargetMode="External"/><Relationship Id="rId41" Type="http://schemas.openxmlformats.org/officeDocument/2006/relationships/hyperlink" Target="http://www.onlinconversion.com/" TargetMode="External"/><Relationship Id="rId42" Type="http://schemas.openxmlformats.org/officeDocument/2006/relationships/vmlDrawing" Target="../drawings/vmlDrawing1.vml"/><Relationship Id="rId4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51"/>
  <sheetViews>
    <sheetView tabSelected="1" topLeftCell="A15" workbookViewId="0">
      <selection activeCell="E48" sqref="E48:E49"/>
    </sheetView>
  </sheetViews>
  <sheetFormatPr baseColWidth="10" defaultRowHeight="15" x14ac:dyDescent="0"/>
  <cols>
    <col min="2" max="2" width="21.83203125" customWidth="1"/>
    <col min="3" max="3" width="4" customWidth="1"/>
    <col min="4" max="4" width="14" customWidth="1"/>
    <col min="5" max="5" width="13.33203125" customWidth="1"/>
    <col min="6" max="6" width="19.5" customWidth="1"/>
  </cols>
  <sheetData>
    <row r="3" spans="2:8">
      <c r="B3" t="s">
        <v>299</v>
      </c>
      <c r="C3">
        <v>10</v>
      </c>
      <c r="D3" t="s">
        <v>507</v>
      </c>
    </row>
    <row r="5" spans="2:8" ht="45">
      <c r="D5" s="85" t="s">
        <v>508</v>
      </c>
      <c r="E5" s="85" t="s">
        <v>300</v>
      </c>
      <c r="F5" s="86"/>
    </row>
    <row r="6" spans="2:8">
      <c r="B6" s="89" t="s">
        <v>298</v>
      </c>
      <c r="D6" s="87">
        <f>Calculations!D14</f>
        <v>9.6000000000000002E-2</v>
      </c>
      <c r="E6" s="87">
        <f>Calculations!D17</f>
        <v>1.9595592576000003</v>
      </c>
      <c r="F6" s="86" t="s">
        <v>261</v>
      </c>
      <c r="H6" t="s">
        <v>509</v>
      </c>
    </row>
    <row r="7" spans="2:8">
      <c r="B7" s="90"/>
      <c r="D7" s="86"/>
      <c r="E7" s="86"/>
      <c r="F7" s="86"/>
    </row>
    <row r="8" spans="2:8">
      <c r="B8" s="90" t="s">
        <v>301</v>
      </c>
      <c r="D8" s="87">
        <f>Calculations!D41/11*Summary!C3</f>
        <v>0.31154494978065961</v>
      </c>
      <c r="E8" s="87">
        <f>Calculations!D46/11*Summary!C3</f>
        <v>0.54605424298891769</v>
      </c>
      <c r="F8" s="86" t="s">
        <v>261</v>
      </c>
      <c r="H8" t="s">
        <v>510</v>
      </c>
    </row>
    <row r="9" spans="2:8">
      <c r="B9" s="90"/>
      <c r="D9" s="86"/>
      <c r="E9" s="86"/>
      <c r="F9" s="86"/>
    </row>
    <row r="10" spans="2:8">
      <c r="B10" s="90" t="s">
        <v>302</v>
      </c>
      <c r="D10" s="87">
        <f>Calculations!D62-E8</f>
        <v>6.8876303516015609</v>
      </c>
      <c r="E10" s="88">
        <f>D10</f>
        <v>6.8876303516015609</v>
      </c>
      <c r="F10" s="86" t="s">
        <v>261</v>
      </c>
      <c r="H10" t="s">
        <v>511</v>
      </c>
    </row>
    <row r="11" spans="2:8">
      <c r="B11" s="90"/>
      <c r="D11" s="86"/>
      <c r="E11" s="86"/>
      <c r="F11" s="86"/>
    </row>
    <row r="12" spans="2:8">
      <c r="B12" s="91" t="s">
        <v>512</v>
      </c>
      <c r="C12" s="80"/>
      <c r="D12" s="92">
        <f>SUM(D6:D10)</f>
        <v>7.2951753013822209</v>
      </c>
      <c r="E12" s="92">
        <f>SUM(E6:E10)</f>
        <v>9.39324385219048</v>
      </c>
      <c r="F12" s="86" t="s">
        <v>261</v>
      </c>
    </row>
    <row r="18" spans="2:9">
      <c r="B18" s="80" t="s">
        <v>513</v>
      </c>
    </row>
    <row r="19" spans="2:9">
      <c r="B19" s="80"/>
    </row>
    <row r="20" spans="2:9">
      <c r="D20" s="89" t="s">
        <v>494</v>
      </c>
      <c r="E20" s="89" t="s">
        <v>540</v>
      </c>
      <c r="F20" s="89" t="s">
        <v>497</v>
      </c>
    </row>
    <row r="21" spans="2:9" ht="30">
      <c r="D21" s="244" t="s">
        <v>495</v>
      </c>
      <c r="E21" s="244" t="s">
        <v>498</v>
      </c>
      <c r="F21" s="244" t="s">
        <v>261</v>
      </c>
    </row>
    <row r="22" spans="2:9">
      <c r="D22" s="245" t="s">
        <v>514</v>
      </c>
      <c r="E22" s="245" t="s">
        <v>500</v>
      </c>
      <c r="F22" s="245" t="s">
        <v>501</v>
      </c>
    </row>
    <row r="23" spans="2:9">
      <c r="B23" s="251" t="s">
        <v>515</v>
      </c>
      <c r="C23" s="252"/>
      <c r="D23" s="250">
        <v>10</v>
      </c>
      <c r="E23" s="249" t="s">
        <v>496</v>
      </c>
      <c r="F23" s="92">
        <f>D23*IF(E23="yes",$D$12,$E$12)/$C$3</f>
        <v>7.2951753013822209</v>
      </c>
    </row>
    <row r="24" spans="2:9">
      <c r="B24" s="251" t="s">
        <v>516</v>
      </c>
      <c r="C24" s="252"/>
      <c r="D24" s="249">
        <v>1</v>
      </c>
      <c r="E24" s="249" t="s">
        <v>496</v>
      </c>
      <c r="F24" s="92">
        <f>D24*IF(E24="yes",$D$12,$E$12)/$C$3</f>
        <v>0.72951753013822207</v>
      </c>
    </row>
    <row r="25" spans="2:9">
      <c r="B25" s="251" t="s">
        <v>517</v>
      </c>
      <c r="C25" s="252"/>
      <c r="D25" s="249">
        <v>10</v>
      </c>
      <c r="E25" s="249" t="s">
        <v>499</v>
      </c>
      <c r="F25" s="92">
        <f>D25*IF(E25="yes",$D$12,$E$12)/$C$3</f>
        <v>9.39324385219048</v>
      </c>
      <c r="G25" s="82"/>
    </row>
    <row r="26" spans="2:9">
      <c r="B26" s="80" t="s">
        <v>442</v>
      </c>
      <c r="F26" s="243">
        <f>SUM(F23:F25)</f>
        <v>17.417936683710924</v>
      </c>
    </row>
    <row r="27" spans="2:9">
      <c r="B27" s="246" t="s">
        <v>502</v>
      </c>
      <c r="F27" s="82">
        <f>SUM(D23:D25)/Calculations!E75</f>
        <v>28.767123287671232</v>
      </c>
    </row>
    <row r="28" spans="2:9">
      <c r="B28" s="246" t="s">
        <v>503</v>
      </c>
      <c r="F28" s="82">
        <f>F27*H28</f>
        <v>28.767123287671232</v>
      </c>
      <c r="H28" s="248">
        <v>1</v>
      </c>
      <c r="I28" t="s">
        <v>518</v>
      </c>
    </row>
    <row r="29" spans="2:9">
      <c r="B29" s="246" t="s">
        <v>504</v>
      </c>
      <c r="F29" s="82">
        <f>F28*Factors!C22/1000</f>
        <v>54.37006438356164</v>
      </c>
    </row>
    <row r="33" spans="2:10">
      <c r="B33" s="80" t="s">
        <v>535</v>
      </c>
    </row>
    <row r="35" spans="2:10">
      <c r="F35" s="80" t="s">
        <v>530</v>
      </c>
      <c r="H35" s="103"/>
      <c r="I35" s="103"/>
    </row>
    <row r="36" spans="2:10">
      <c r="B36" t="s">
        <v>523</v>
      </c>
      <c r="E36" s="103">
        <v>28.6</v>
      </c>
      <c r="F36" t="s">
        <v>533</v>
      </c>
      <c r="H36" s="103"/>
      <c r="I36" s="103"/>
    </row>
    <row r="37" spans="2:10">
      <c r="B37" t="s">
        <v>522</v>
      </c>
      <c r="E37" s="103">
        <f>F27</f>
        <v>28.767123287671232</v>
      </c>
      <c r="H37" s="103"/>
      <c r="I37" s="103"/>
    </row>
    <row r="38" spans="2:10">
      <c r="B38" t="s">
        <v>536</v>
      </c>
      <c r="E38" s="255">
        <f>(E36+E37)/E36</f>
        <v>2.0058434715968962</v>
      </c>
      <c r="H38" s="103"/>
      <c r="I38" s="103"/>
    </row>
    <row r="39" spans="2:10">
      <c r="B39" t="s">
        <v>524</v>
      </c>
      <c r="E39" s="103"/>
      <c r="H39" s="103"/>
      <c r="I39" s="103"/>
      <c r="J39" s="80" t="s">
        <v>532</v>
      </c>
    </row>
    <row r="40" spans="2:10">
      <c r="B40" s="253" t="s">
        <v>525</v>
      </c>
      <c r="E40" s="255">
        <f>E6+D6+1/10*D6</f>
        <v>2.0651592576</v>
      </c>
      <c r="J40" s="256">
        <f t="shared" ref="J40:J46" si="0">E40/$E$45</f>
        <v>4.7296592023687696E-2</v>
      </c>
    </row>
    <row r="41" spans="2:10">
      <c r="B41" s="253" t="s">
        <v>526</v>
      </c>
      <c r="E41" s="255">
        <f>E42-E40</f>
        <v>15.352777426110924</v>
      </c>
      <c r="J41" s="257">
        <f t="shared" si="0"/>
        <v>0.35161164819662311</v>
      </c>
    </row>
    <row r="42" spans="2:10">
      <c r="B42" s="253" t="s">
        <v>519</v>
      </c>
      <c r="E42" s="103">
        <f>F26</f>
        <v>17.417936683710924</v>
      </c>
      <c r="J42" s="254">
        <f t="shared" si="0"/>
        <v>0.39890824022031079</v>
      </c>
    </row>
    <row r="43" spans="2:10">
      <c r="B43" s="247" t="s">
        <v>527</v>
      </c>
      <c r="E43" s="258">
        <f>E41*E36/E37</f>
        <v>15.263585100111614</v>
      </c>
      <c r="F43" s="259"/>
      <c r="J43" s="256">
        <f t="shared" si="0"/>
        <v>0.34956895195471893</v>
      </c>
    </row>
    <row r="44" spans="2:10">
      <c r="B44" s="247" t="s">
        <v>538</v>
      </c>
      <c r="E44" s="255">
        <f>E42+E43</f>
        <v>32.681521783822539</v>
      </c>
      <c r="F44" s="259"/>
      <c r="J44" s="256">
        <f t="shared" si="0"/>
        <v>0.74847719217502973</v>
      </c>
    </row>
    <row r="45" spans="2:10">
      <c r="B45" s="247" t="s">
        <v>528</v>
      </c>
      <c r="E45" s="103">
        <f>0.67*'GHG Inventory - BC'!W7/1000</f>
        <v>43.664018256657897</v>
      </c>
      <c r="J45" s="254">
        <f t="shared" si="0"/>
        <v>1</v>
      </c>
    </row>
    <row r="46" spans="2:10">
      <c r="B46" s="247" t="s">
        <v>529</v>
      </c>
      <c r="E46" s="255">
        <f>E45-E43-E42</f>
        <v>10.982496472835361</v>
      </c>
      <c r="J46" s="254">
        <f t="shared" si="0"/>
        <v>0.25152280782497033</v>
      </c>
    </row>
    <row r="47" spans="2:10">
      <c r="B47" s="247" t="s">
        <v>537</v>
      </c>
      <c r="E47" s="254">
        <f>E40/('GHG Inventory - BC'!Y16/1000)</f>
        <v>0.46317411901600591</v>
      </c>
      <c r="J47" s="254"/>
    </row>
    <row r="48" spans="2:10">
      <c r="B48" s="247" t="s">
        <v>539</v>
      </c>
      <c r="E48" s="103">
        <f>'GHG Inventory - BC'!Y7/1000*('GHG Inventory - BC'!AF10)</f>
        <v>13.284709465779942</v>
      </c>
      <c r="J48" s="254"/>
    </row>
    <row r="49" spans="2:5">
      <c r="B49" s="247" t="s">
        <v>531</v>
      </c>
      <c r="E49" s="103">
        <f>'GHG Inventory - BC'!Y7/1000*(1-'GHG Inventory - BC'!AF10)</f>
        <v>50.470030670288068</v>
      </c>
    </row>
    <row r="50" spans="2:5">
      <c r="B50" s="247" t="s">
        <v>534</v>
      </c>
      <c r="E50" s="256">
        <f>1-E46/E49</f>
        <v>0.7823956845879072</v>
      </c>
    </row>
    <row r="51" spans="2:5">
      <c r="B51" s="247" t="s">
        <v>541</v>
      </c>
      <c r="E51" s="255">
        <f>F29</f>
        <v>54.37006438356164</v>
      </c>
    </row>
  </sheetData>
  <phoneticPr fontId="63"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A8"/>
  <sheetViews>
    <sheetView zoomScale="25" zoomScaleNormal="25" zoomScalePageLayoutView="25" workbookViewId="0">
      <selection activeCell="DR22" sqref="DR22"/>
    </sheetView>
  </sheetViews>
  <sheetFormatPr baseColWidth="10" defaultRowHeight="15" x14ac:dyDescent="0"/>
  <cols>
    <col min="9" max="124" width="4.33203125" customWidth="1"/>
  </cols>
  <sheetData>
    <row r="2" spans="3:53">
      <c r="I2">
        <v>1</v>
      </c>
      <c r="J2">
        <v>2</v>
      </c>
      <c r="K2">
        <v>3</v>
      </c>
      <c r="L2">
        <v>4</v>
      </c>
      <c r="M2">
        <v>5</v>
      </c>
      <c r="N2">
        <v>6</v>
      </c>
      <c r="O2">
        <v>7</v>
      </c>
      <c r="P2">
        <v>8</v>
      </c>
      <c r="Q2">
        <v>9</v>
      </c>
      <c r="R2">
        <v>10</v>
      </c>
      <c r="S2">
        <v>11</v>
      </c>
      <c r="T2">
        <v>12</v>
      </c>
      <c r="U2">
        <v>13</v>
      </c>
      <c r="V2">
        <v>14</v>
      </c>
      <c r="W2">
        <v>15</v>
      </c>
      <c r="X2">
        <v>16</v>
      </c>
      <c r="Y2">
        <v>17</v>
      </c>
      <c r="Z2">
        <v>18</v>
      </c>
      <c r="AA2">
        <v>19</v>
      </c>
      <c r="AB2">
        <v>20</v>
      </c>
      <c r="AC2">
        <v>21</v>
      </c>
      <c r="AD2">
        <v>22</v>
      </c>
      <c r="AE2">
        <v>23</v>
      </c>
      <c r="AF2">
        <v>24</v>
      </c>
      <c r="AG2">
        <v>25</v>
      </c>
      <c r="AH2">
        <v>26</v>
      </c>
      <c r="AI2">
        <v>27</v>
      </c>
      <c r="AJ2">
        <v>28</v>
      </c>
      <c r="AK2">
        <v>29</v>
      </c>
      <c r="AL2">
        <v>30</v>
      </c>
      <c r="AM2">
        <v>31</v>
      </c>
      <c r="AN2">
        <v>32</v>
      </c>
      <c r="AO2">
        <v>33</v>
      </c>
      <c r="AP2">
        <v>34</v>
      </c>
      <c r="AQ2">
        <v>35</v>
      </c>
      <c r="AR2">
        <v>36</v>
      </c>
      <c r="AS2">
        <v>37</v>
      </c>
      <c r="AT2">
        <v>38</v>
      </c>
      <c r="AU2">
        <v>39</v>
      </c>
      <c r="AV2">
        <v>40</v>
      </c>
      <c r="AW2">
        <v>41</v>
      </c>
      <c r="AX2">
        <v>42</v>
      </c>
      <c r="AY2">
        <v>43</v>
      </c>
      <c r="AZ2">
        <v>44</v>
      </c>
      <c r="BA2">
        <v>45</v>
      </c>
    </row>
    <row r="3" spans="3:53">
      <c r="C3" s="260" t="s">
        <v>542</v>
      </c>
      <c r="D3" s="80">
        <v>2009</v>
      </c>
      <c r="E3" s="80">
        <v>2020</v>
      </c>
    </row>
    <row r="4" spans="3:53">
      <c r="C4" s="261" t="s">
        <v>544</v>
      </c>
      <c r="D4" s="103">
        <v>0</v>
      </c>
      <c r="E4" s="103">
        <f>Summary!E42</f>
        <v>17.417936683710924</v>
      </c>
    </row>
    <row r="5" spans="3:53">
      <c r="C5" s="261" t="s">
        <v>546</v>
      </c>
      <c r="D5" s="103">
        <f>Summary!E48</f>
        <v>13.284709465779942</v>
      </c>
      <c r="E5" s="103">
        <f>Summary!E43</f>
        <v>15.263585100111614</v>
      </c>
    </row>
    <row r="6" spans="3:53">
      <c r="C6" s="261" t="s">
        <v>545</v>
      </c>
      <c r="D6" s="103">
        <f>Summary!E49</f>
        <v>50.470030670288068</v>
      </c>
      <c r="E6" s="103">
        <f>Summary!E46</f>
        <v>10.982496472835361</v>
      </c>
    </row>
    <row r="7" spans="3:53">
      <c r="C7" s="261" t="s">
        <v>519</v>
      </c>
      <c r="D7" s="103">
        <f>SUM(D4:D6)</f>
        <v>63.754740136068008</v>
      </c>
      <c r="E7" s="103">
        <f>SUM(E4:E6)</f>
        <v>43.664018256657897</v>
      </c>
    </row>
    <row r="8" spans="3:53">
      <c r="C8" s="261" t="s">
        <v>543</v>
      </c>
      <c r="D8" s="102">
        <f>SQRT(D7/3.14)*10</f>
        <v>45.060023710795498</v>
      </c>
      <c r="E8" s="102">
        <f>SQRT(E7/3.14)*10</f>
        <v>37.290398627929271</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workbookViewId="0">
      <selection activeCell="H30" sqref="H30"/>
    </sheetView>
  </sheetViews>
  <sheetFormatPr baseColWidth="10" defaultRowHeight="15" x14ac:dyDescent="0"/>
  <cols>
    <col min="3" max="3" width="16.83203125" customWidth="1"/>
    <col min="4" max="4" width="13.1640625" bestFit="1" customWidth="1"/>
    <col min="6" max="6" width="19.6640625" customWidth="1"/>
    <col min="13" max="13" width="11.5" bestFit="1" customWidth="1"/>
  </cols>
  <sheetData>
    <row r="1" spans="1:7">
      <c r="A1" t="s">
        <v>520</v>
      </c>
    </row>
    <row r="4" spans="1:7">
      <c r="B4" s="80" t="s">
        <v>0</v>
      </c>
    </row>
    <row r="5" spans="1:7">
      <c r="B5" t="s">
        <v>16</v>
      </c>
    </row>
    <row r="6" spans="1:7">
      <c r="C6" t="s">
        <v>1</v>
      </c>
      <c r="D6" s="79">
        <f>325761/1000000</f>
        <v>0.32576100000000002</v>
      </c>
      <c r="E6" t="s">
        <v>2</v>
      </c>
      <c r="F6" t="s">
        <v>4</v>
      </c>
      <c r="G6" t="s">
        <v>277</v>
      </c>
    </row>
    <row r="7" spans="1:7">
      <c r="G7" t="s">
        <v>521</v>
      </c>
    </row>
    <row r="10" spans="1:7">
      <c r="B10" t="s">
        <v>264</v>
      </c>
    </row>
    <row r="11" spans="1:7">
      <c r="C11" t="s">
        <v>7</v>
      </c>
      <c r="D11">
        <v>10</v>
      </c>
      <c r="E11" t="s">
        <v>8</v>
      </c>
    </row>
    <row r="12" spans="1:7">
      <c r="C12" s="3" t="s">
        <v>17</v>
      </c>
    </row>
    <row r="13" spans="1:7">
      <c r="C13" t="s">
        <v>18</v>
      </c>
      <c r="D13">
        <v>3000</v>
      </c>
      <c r="E13" t="s">
        <v>19</v>
      </c>
      <c r="F13" t="s">
        <v>266</v>
      </c>
    </row>
    <row r="14" spans="1:7">
      <c r="C14" t="s">
        <v>1</v>
      </c>
      <c r="D14" s="79">
        <f>D13*E72*1000000/1000000000000</f>
        <v>9.6000000000000002E-2</v>
      </c>
      <c r="E14" t="s">
        <v>2</v>
      </c>
      <c r="F14" t="s">
        <v>248</v>
      </c>
    </row>
    <row r="16" spans="1:7">
      <c r="C16" s="3" t="s">
        <v>249</v>
      </c>
    </row>
    <row r="17" spans="2:18">
      <c r="C17" t="s">
        <v>1</v>
      </c>
      <c r="D17" s="79">
        <f>D11/'ABB report'!D4*'ABB report'!D11</f>
        <v>1.9595592576000003</v>
      </c>
      <c r="E17" t="s">
        <v>2</v>
      </c>
      <c r="F17" t="s">
        <v>263</v>
      </c>
    </row>
    <row r="20" spans="2:18">
      <c r="B20" s="80" t="s">
        <v>265</v>
      </c>
    </row>
    <row r="21" spans="2:18">
      <c r="C21" t="s">
        <v>292</v>
      </c>
    </row>
    <row r="23" spans="2:18">
      <c r="C23" t="s">
        <v>270</v>
      </c>
      <c r="D23">
        <f>AlliancePipeline!F23/1000</f>
        <v>4.3285444927946788E-2</v>
      </c>
      <c r="E23" t="s">
        <v>271</v>
      </c>
      <c r="F23" t="s">
        <v>354</v>
      </c>
      <c r="M23" t="s">
        <v>293</v>
      </c>
    </row>
    <row r="24" spans="2:18">
      <c r="R24">
        <v>0.9</v>
      </c>
    </row>
    <row r="25" spans="2:18">
      <c r="C25" t="s">
        <v>272</v>
      </c>
      <c r="D25">
        <v>463</v>
      </c>
      <c r="E25" t="s">
        <v>273</v>
      </c>
      <c r="F25" t="s">
        <v>276</v>
      </c>
      <c r="M25">
        <v>1.4</v>
      </c>
      <c r="N25" t="s">
        <v>303</v>
      </c>
      <c r="R25">
        <v>0.125</v>
      </c>
    </row>
    <row r="26" spans="2:18">
      <c r="C26" t="s">
        <v>274</v>
      </c>
      <c r="D26">
        <v>550</v>
      </c>
      <c r="E26" t="s">
        <v>273</v>
      </c>
      <c r="F26" t="s">
        <v>275</v>
      </c>
      <c r="M26">
        <f>M25*E74</f>
        <v>3.9643585228800002E-2</v>
      </c>
      <c r="N26" t="s">
        <v>294</v>
      </c>
      <c r="R26">
        <f>R25*E74</f>
        <v>3.5396058240000001E-3</v>
      </c>
    </row>
    <row r="27" spans="2:18">
      <c r="M27" s="83">
        <f>D29*E73*1000000</f>
        <v>554300</v>
      </c>
      <c r="N27" t="s">
        <v>304</v>
      </c>
    </row>
    <row r="28" spans="2:18">
      <c r="C28" t="s">
        <v>314</v>
      </c>
      <c r="M28" s="83"/>
    </row>
    <row r="29" spans="2:18">
      <c r="D29">
        <v>10</v>
      </c>
      <c r="E29" t="s">
        <v>290</v>
      </c>
      <c r="F29" t="s">
        <v>315</v>
      </c>
      <c r="M29" s="83"/>
    </row>
    <row r="30" spans="2:18">
      <c r="D30" s="82">
        <f>D29/E75</f>
        <v>13.698630136986301</v>
      </c>
      <c r="E30" t="s">
        <v>316</v>
      </c>
      <c r="M30" s="83"/>
    </row>
    <row r="31" spans="2:18">
      <c r="M31" s="83"/>
    </row>
    <row r="32" spans="2:18">
      <c r="C32" t="s">
        <v>353</v>
      </c>
      <c r="M32" s="83"/>
    </row>
    <row r="33" spans="3:18">
      <c r="D33" s="103">
        <f>D44/E84*1000000</f>
        <v>518.00717338023685</v>
      </c>
      <c r="E33" t="s">
        <v>19</v>
      </c>
      <c r="F33" t="s">
        <v>356</v>
      </c>
      <c r="M33" s="83"/>
    </row>
    <row r="34" spans="3:18">
      <c r="F34" t="s">
        <v>357</v>
      </c>
      <c r="M34" s="83"/>
    </row>
    <row r="35" spans="3:18">
      <c r="M35" s="83"/>
    </row>
    <row r="36" spans="3:18">
      <c r="M36" s="83"/>
    </row>
    <row r="37" spans="3:18">
      <c r="M37" s="83"/>
    </row>
    <row r="38" spans="3:18">
      <c r="C38" s="3" t="s">
        <v>291</v>
      </c>
      <c r="E38" s="3">
        <f>D29</f>
        <v>10</v>
      </c>
      <c r="F38" s="3" t="s">
        <v>290</v>
      </c>
    </row>
    <row r="39" spans="3:18">
      <c r="C39" t="s">
        <v>278</v>
      </c>
      <c r="D39" s="81">
        <f>D33*E72/1000000</f>
        <v>1.6576229548167579E-2</v>
      </c>
      <c r="E39" t="s">
        <v>2</v>
      </c>
      <c r="F39" t="s">
        <v>355</v>
      </c>
      <c r="R39">
        <f>R26*365*D25*D23/1000</f>
        <v>2.5892300723410398E-2</v>
      </c>
    </row>
    <row r="40" spans="3:18">
      <c r="C40" t="s">
        <v>279</v>
      </c>
      <c r="D40" s="82">
        <f>D45</f>
        <v>0.32612321521055798</v>
      </c>
      <c r="E40" t="s">
        <v>2</v>
      </c>
      <c r="F40" t="s">
        <v>317</v>
      </c>
    </row>
    <row r="41" spans="3:18">
      <c r="C41" t="s">
        <v>280</v>
      </c>
      <c r="D41" s="79">
        <f>D40+D39</f>
        <v>0.34269944475872555</v>
      </c>
      <c r="E41" t="s">
        <v>2</v>
      </c>
    </row>
    <row r="43" spans="3:18">
      <c r="C43" s="3" t="s">
        <v>289</v>
      </c>
      <c r="E43" s="3">
        <v>10</v>
      </c>
      <c r="F43" s="3" t="s">
        <v>290</v>
      </c>
    </row>
    <row r="44" spans="3:18">
      <c r="C44" t="s">
        <v>282</v>
      </c>
      <c r="D44" s="82">
        <f>D23*D25*D30/1000</f>
        <v>0.27453645207725158</v>
      </c>
      <c r="E44" t="s">
        <v>2</v>
      </c>
      <c r="F44" t="s">
        <v>317</v>
      </c>
    </row>
    <row r="45" spans="3:18">
      <c r="C45" t="s">
        <v>283</v>
      </c>
      <c r="D45" s="82">
        <f>D23*D26*D30/1000</f>
        <v>0.32612321521055798</v>
      </c>
      <c r="E45" t="s">
        <v>2</v>
      </c>
      <c r="F45" t="s">
        <v>317</v>
      </c>
    </row>
    <row r="46" spans="3:18">
      <c r="C46" t="s">
        <v>281</v>
      </c>
      <c r="D46" s="79">
        <f>D45+D44</f>
        <v>0.60065966728780951</v>
      </c>
      <c r="E46" t="s">
        <v>2</v>
      </c>
    </row>
    <row r="49" spans="2:7">
      <c r="B49" s="80" t="s">
        <v>284</v>
      </c>
    </row>
    <row r="50" spans="2:7">
      <c r="C50" t="s">
        <v>287</v>
      </c>
    </row>
    <row r="51" spans="2:7">
      <c r="C51" t="s">
        <v>285</v>
      </c>
      <c r="D51" s="82">
        <f>'GHG Inventory - BC'!AE9/'NEB-MarketableNG productn-2005'!L25*1000</f>
        <v>10.96740349764139</v>
      </c>
      <c r="E51" t="s">
        <v>295</v>
      </c>
      <c r="F51" t="s">
        <v>493</v>
      </c>
    </row>
    <row r="52" spans="2:7">
      <c r="C52" t="s">
        <v>286</v>
      </c>
      <c r="D52" s="82">
        <f>D51*(1+F52)</f>
        <v>8.5545747281602846</v>
      </c>
      <c r="E52" t="s">
        <v>295</v>
      </c>
      <c r="F52" s="78">
        <v>-0.22</v>
      </c>
      <c r="G52" t="s">
        <v>296</v>
      </c>
    </row>
    <row r="53" spans="2:7">
      <c r="C53" t="s">
        <v>297</v>
      </c>
      <c r="D53" s="82">
        <f>D51*(1+F53)</f>
        <v>20.399370505612985</v>
      </c>
      <c r="E53" t="s">
        <v>295</v>
      </c>
      <c r="F53" s="78">
        <v>0.86</v>
      </c>
      <c r="G53" t="s">
        <v>296</v>
      </c>
    </row>
    <row r="55" spans="2:7">
      <c r="C55" t="s">
        <v>305</v>
      </c>
    </row>
    <row r="56" spans="2:7">
      <c r="C56" t="s">
        <v>286</v>
      </c>
      <c r="D56" s="78">
        <v>0.59</v>
      </c>
      <c r="F56" t="s">
        <v>306</v>
      </c>
    </row>
    <row r="57" spans="2:7">
      <c r="C57" t="s">
        <v>297</v>
      </c>
      <c r="D57" s="78">
        <f>1-D56</f>
        <v>0.41000000000000003</v>
      </c>
      <c r="F57" t="s">
        <v>306</v>
      </c>
    </row>
    <row r="60" spans="2:7">
      <c r="C60" t="s">
        <v>307</v>
      </c>
    </row>
    <row r="61" spans="2:7">
      <c r="C61" t="s">
        <v>310</v>
      </c>
      <c r="D61">
        <v>10</v>
      </c>
      <c r="E61" t="s">
        <v>308</v>
      </c>
    </row>
    <row r="62" spans="2:7">
      <c r="C62" t="s">
        <v>311</v>
      </c>
      <c r="D62" s="84">
        <f>M27*SUMPRODUCT(D52:D53,D56:D57)/1000000</f>
        <v>7.4336845945904786</v>
      </c>
      <c r="E62" t="s">
        <v>309</v>
      </c>
    </row>
    <row r="72" spans="2:7">
      <c r="B72" t="s">
        <v>66</v>
      </c>
      <c r="E72">
        <f>Factors!C60</f>
        <v>32</v>
      </c>
      <c r="F72" t="str">
        <f>Factors!D60</f>
        <v>g CO2e/kWh</v>
      </c>
      <c r="G72" t="str">
        <f>Factors!E60</f>
        <v>Environment Canada. 2011. National Inventory Report 1990-2009. Greenhouse Gas Sources and Sinks in Canada. Annex 11 Emission Factors. Accessed May. 2011</v>
      </c>
    </row>
    <row r="73" spans="2:7">
      <c r="E73">
        <v>5.543E-2</v>
      </c>
      <c r="F73" t="s">
        <v>288</v>
      </c>
    </row>
    <row r="74" spans="2:7">
      <c r="B74" s="33" t="s">
        <v>126</v>
      </c>
      <c r="E74" s="58">
        <f>Factors!C107</f>
        <v>2.8316846592000001E-2</v>
      </c>
      <c r="F74" s="33" t="s">
        <v>127</v>
      </c>
      <c r="G74" s="44" t="s">
        <v>79</v>
      </c>
    </row>
    <row r="75" spans="2:7">
      <c r="B75" t="s">
        <v>312</v>
      </c>
      <c r="E75">
        <v>0.73</v>
      </c>
      <c r="F75" t="s">
        <v>505</v>
      </c>
      <c r="G75" t="s">
        <v>313</v>
      </c>
    </row>
    <row r="76" spans="2:7">
      <c r="B76" t="s">
        <v>490</v>
      </c>
      <c r="E76">
        <f>37.69*1000</f>
        <v>37690</v>
      </c>
      <c r="F76" t="s">
        <v>492</v>
      </c>
      <c r="G76" s="1" t="s">
        <v>491</v>
      </c>
    </row>
    <row r="79" spans="2:7">
      <c r="B79" s="100" t="s">
        <v>350</v>
      </c>
    </row>
    <row r="80" spans="2:7">
      <c r="B80" t="s">
        <v>351</v>
      </c>
      <c r="E80" s="78">
        <v>0.35</v>
      </c>
    </row>
    <row r="81" spans="2:7">
      <c r="B81" s="242" t="str">
        <f>Factors!$B$42</f>
        <v>Convert - MJ and GWh</v>
      </c>
      <c r="E81" s="101">
        <f>Factors!$C$42</f>
        <v>3600000</v>
      </c>
      <c r="F81" t="str">
        <f>Factors!$D$42</f>
        <v>MJ/GWh</v>
      </c>
      <c r="G81" t="str">
        <f>Factors!$E$42</f>
        <v>www.onlinconversion.com</v>
      </c>
    </row>
    <row r="82" spans="2:7">
      <c r="B82" s="242" t="str">
        <f>Factors!$B$41</f>
        <v>Energy Content - Natural Gas</v>
      </c>
      <c r="E82" s="82">
        <f>Factors!$C$41</f>
        <v>38.260000000000005</v>
      </c>
      <c r="F82" s="82" t="str">
        <f>Factors!$D$41</f>
        <v>MJ / m3</v>
      </c>
      <c r="G82" s="82" t="str">
        <f>Factors!$E$41</f>
        <v>StatsCan, 2005. Report on Energy Supply and Demand in Canada.</v>
      </c>
    </row>
    <row r="83" spans="2:7">
      <c r="B83" s="242" t="str">
        <f>Factors!$B$25</f>
        <v>Combustion - Natural Gas (BC, marketable, pipelines) - CO2e</v>
      </c>
      <c r="E83">
        <f>Factors!$C$25</f>
        <v>1971.4</v>
      </c>
      <c r="F83" t="str">
        <f>Factors!$D$25</f>
        <v>gCO2e / m3</v>
      </c>
      <c r="G83" t="str">
        <f>Factors!$E$25</f>
        <v>Environment Canada. 2011. National Inventory Report 1990-2009. Greenhouse Gas Sources and Sinks in Canada. Annex 8 Emission Factors. Accessed May. 2011</v>
      </c>
    </row>
    <row r="84" spans="2:7">
      <c r="B84" t="s">
        <v>58</v>
      </c>
      <c r="E84" s="102">
        <f>E83/1000/1000/E82*E81/E80</f>
        <v>529.98581136584266</v>
      </c>
      <c r="F84" t="s">
        <v>55</v>
      </c>
      <c r="G84" t="s">
        <v>352</v>
      </c>
    </row>
  </sheetData>
  <hyperlinks>
    <hyperlink ref="G74" r:id="rId1"/>
    <hyperlink ref="G76" r:id="rId2"/>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C6" sqref="C6"/>
    </sheetView>
  </sheetViews>
  <sheetFormatPr baseColWidth="10" defaultRowHeight="15" x14ac:dyDescent="0"/>
  <cols>
    <col min="2" max="2" width="39.6640625" customWidth="1"/>
  </cols>
  <sheetData>
    <row r="1" spans="1:5">
      <c r="A1" t="s">
        <v>3</v>
      </c>
      <c r="B1" t="s">
        <v>5</v>
      </c>
      <c r="C1" t="s">
        <v>6</v>
      </c>
      <c r="E1" t="s">
        <v>252</v>
      </c>
    </row>
    <row r="2" spans="1:5">
      <c r="B2" t="s">
        <v>4</v>
      </c>
      <c r="C2" s="2" t="s">
        <v>254</v>
      </c>
      <c r="E2" t="s">
        <v>255</v>
      </c>
    </row>
    <row r="3" spans="1:5">
      <c r="B3" t="s">
        <v>251</v>
      </c>
      <c r="E3" t="s">
        <v>253</v>
      </c>
    </row>
    <row r="4" spans="1:5">
      <c r="B4" t="s">
        <v>267</v>
      </c>
      <c r="C4" t="s">
        <v>268</v>
      </c>
      <c r="E4" t="s">
        <v>269</v>
      </c>
    </row>
    <row r="5" spans="1:5">
      <c r="B5" t="s">
        <v>347</v>
      </c>
      <c r="C5" s="99" t="s">
        <v>348</v>
      </c>
      <c r="E5" t="s">
        <v>349</v>
      </c>
    </row>
  </sheetData>
  <hyperlinks>
    <hyperlink ref="C2" r:id="rId1"/>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workbookViewId="0">
      <selection activeCell="D11" sqref="D11"/>
    </sheetView>
  </sheetViews>
  <sheetFormatPr baseColWidth="10" defaultRowHeight="15" x14ac:dyDescent="0"/>
  <cols>
    <col min="2" max="2" width="22" customWidth="1"/>
  </cols>
  <sheetData>
    <row r="2" spans="2:7">
      <c r="B2" t="s">
        <v>9</v>
      </c>
    </row>
    <row r="3" spans="2:7">
      <c r="C3" t="s">
        <v>12</v>
      </c>
      <c r="D3" t="s">
        <v>13</v>
      </c>
    </row>
    <row r="4" spans="2:7">
      <c r="B4" t="s">
        <v>10</v>
      </c>
      <c r="C4">
        <v>6.25</v>
      </c>
      <c r="D4">
        <v>6.25</v>
      </c>
      <c r="E4" t="s">
        <v>11</v>
      </c>
    </row>
    <row r="5" spans="2:7">
      <c r="B5" t="s">
        <v>14</v>
      </c>
      <c r="C5">
        <v>450</v>
      </c>
      <c r="D5">
        <v>648</v>
      </c>
      <c r="E5" t="s">
        <v>15</v>
      </c>
      <c r="G5" t="s">
        <v>259</v>
      </c>
    </row>
    <row r="6" spans="2:7">
      <c r="B6" t="s">
        <v>250</v>
      </c>
      <c r="C6" s="78">
        <v>0.36</v>
      </c>
      <c r="D6" s="78">
        <v>0.25</v>
      </c>
    </row>
    <row r="7" spans="2:7">
      <c r="B7" t="s">
        <v>256</v>
      </c>
      <c r="C7">
        <v>0.8</v>
      </c>
      <c r="D7">
        <v>1.1599999999999999</v>
      </c>
      <c r="E7" t="s">
        <v>257</v>
      </c>
      <c r="G7" t="s">
        <v>258</v>
      </c>
    </row>
    <row r="10" spans="2:7">
      <c r="B10" t="s">
        <v>260</v>
      </c>
    </row>
    <row r="11" spans="2:7">
      <c r="B11" t="s">
        <v>256</v>
      </c>
      <c r="C11">
        <f>C5*Factors!C22/1000000</f>
        <v>0.85050314999999999</v>
      </c>
      <c r="D11">
        <f>D5*Factors!C22/1000000</f>
        <v>1.2247245360000001</v>
      </c>
      <c r="E11" t="s">
        <v>261</v>
      </c>
      <c r="G11" t="s">
        <v>262</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workbookViewId="0">
      <selection activeCell="B2" sqref="B2"/>
    </sheetView>
  </sheetViews>
  <sheetFormatPr baseColWidth="10" defaultRowHeight="15" x14ac:dyDescent="0"/>
  <sheetData>
    <row r="2" spans="2:16">
      <c r="B2" s="80" t="s">
        <v>346</v>
      </c>
    </row>
    <row r="4" spans="2:16">
      <c r="B4" s="98" t="s">
        <v>337</v>
      </c>
    </row>
    <row r="5" spans="2:16" ht="16" thickBot="1"/>
    <row r="6" spans="2:16">
      <c r="B6" s="272"/>
      <c r="C6" s="262" t="s">
        <v>318</v>
      </c>
      <c r="D6" s="263"/>
      <c r="E6" s="263"/>
      <c r="F6" s="264"/>
      <c r="G6" s="262" t="s">
        <v>320</v>
      </c>
      <c r="H6" s="263"/>
      <c r="I6" s="264"/>
      <c r="J6" s="262" t="s">
        <v>321</v>
      </c>
      <c r="K6" s="263"/>
      <c r="L6" s="264"/>
      <c r="M6" s="262" t="s">
        <v>322</v>
      </c>
      <c r="N6" s="263"/>
      <c r="O6" s="263"/>
      <c r="P6" s="264"/>
    </row>
    <row r="7" spans="2:16">
      <c r="B7" s="273"/>
      <c r="C7" s="265" t="s">
        <v>319</v>
      </c>
      <c r="D7" s="266"/>
      <c r="E7" s="266"/>
      <c r="F7" s="267"/>
      <c r="G7" s="265" t="s">
        <v>319</v>
      </c>
      <c r="H7" s="266"/>
      <c r="I7" s="267"/>
      <c r="J7" s="265" t="s">
        <v>319</v>
      </c>
      <c r="K7" s="266"/>
      <c r="L7" s="267"/>
      <c r="M7" s="265"/>
      <c r="N7" s="271"/>
      <c r="O7" s="271"/>
      <c r="P7" s="267"/>
    </row>
    <row r="8" spans="2:16" ht="16" thickBot="1">
      <c r="B8" s="274"/>
      <c r="C8" s="268"/>
      <c r="D8" s="269"/>
      <c r="E8" s="269"/>
      <c r="F8" s="270"/>
      <c r="G8" s="268"/>
      <c r="H8" s="269"/>
      <c r="I8" s="270"/>
      <c r="J8" s="268"/>
      <c r="K8" s="269"/>
      <c r="L8" s="270"/>
      <c r="M8" s="268"/>
      <c r="N8" s="269"/>
      <c r="O8" s="269"/>
      <c r="P8" s="270"/>
    </row>
    <row r="9" spans="2:16" ht="25" thickBot="1">
      <c r="B9" s="93" t="s">
        <v>323</v>
      </c>
      <c r="C9" s="94" t="s">
        <v>324</v>
      </c>
      <c r="D9" s="94" t="s">
        <v>325</v>
      </c>
      <c r="E9" s="94" t="s">
        <v>326</v>
      </c>
      <c r="F9" s="94" t="s">
        <v>327</v>
      </c>
      <c r="G9" s="94" t="s">
        <v>324</v>
      </c>
      <c r="H9" s="94" t="s">
        <v>325</v>
      </c>
      <c r="I9" s="94" t="s">
        <v>327</v>
      </c>
      <c r="J9" s="94" t="s">
        <v>324</v>
      </c>
      <c r="K9" s="94" t="s">
        <v>325</v>
      </c>
      <c r="L9" s="94" t="s">
        <v>327</v>
      </c>
      <c r="M9" s="94" t="s">
        <v>324</v>
      </c>
      <c r="N9" s="94" t="s">
        <v>325</v>
      </c>
      <c r="O9" s="94" t="s">
        <v>326</v>
      </c>
      <c r="P9" s="94" t="s">
        <v>327</v>
      </c>
    </row>
    <row r="10" spans="2:16" ht="21" thickBot="1">
      <c r="B10" s="95" t="s">
        <v>328</v>
      </c>
      <c r="C10" s="96">
        <v>1026298</v>
      </c>
      <c r="D10" s="96">
        <v>443.8</v>
      </c>
      <c r="E10" s="96">
        <v>10.78</v>
      </c>
      <c r="F10" s="96">
        <v>1038960</v>
      </c>
      <c r="G10" s="96">
        <v>2.2999999999999998</v>
      </c>
      <c r="H10" s="96">
        <v>264.7</v>
      </c>
      <c r="I10" s="96">
        <v>5561</v>
      </c>
      <c r="J10" s="96">
        <v>7.35</v>
      </c>
      <c r="K10" s="96">
        <v>481.6</v>
      </c>
      <c r="L10" s="96">
        <v>10121</v>
      </c>
      <c r="M10" s="96">
        <v>1026308</v>
      </c>
      <c r="N10" s="96">
        <v>1190</v>
      </c>
      <c r="O10" s="96">
        <v>10.78</v>
      </c>
      <c r="P10" s="96">
        <v>1054641</v>
      </c>
    </row>
    <row r="11" spans="2:16" ht="21" thickBot="1">
      <c r="B11" s="95" t="s">
        <v>329</v>
      </c>
      <c r="C11" s="96">
        <v>10509</v>
      </c>
      <c r="D11" s="96">
        <v>7.6999999999999999E-2</v>
      </c>
      <c r="E11" s="96">
        <v>0.14299999999999999</v>
      </c>
      <c r="F11" s="96">
        <v>10555</v>
      </c>
      <c r="G11" s="96" t="s">
        <v>330</v>
      </c>
      <c r="H11" s="96" t="s">
        <v>330</v>
      </c>
      <c r="I11" s="96" t="s">
        <v>330</v>
      </c>
      <c r="J11" s="96" t="s">
        <v>330</v>
      </c>
      <c r="K11" s="96" t="s">
        <v>330</v>
      </c>
      <c r="L11" s="96" t="s">
        <v>330</v>
      </c>
      <c r="M11" s="96">
        <v>10509</v>
      </c>
      <c r="N11" s="96">
        <v>0.1</v>
      </c>
      <c r="O11" s="96">
        <v>0.14299999999999999</v>
      </c>
      <c r="P11" s="96">
        <v>10555</v>
      </c>
    </row>
    <row r="12" spans="2:16" ht="21" thickBot="1">
      <c r="B12" s="95" t="s">
        <v>331</v>
      </c>
      <c r="C12" s="96" t="s">
        <v>330</v>
      </c>
      <c r="D12" s="96" t="s">
        <v>330</v>
      </c>
      <c r="E12" s="96" t="s">
        <v>330</v>
      </c>
      <c r="F12" s="96" t="s">
        <v>330</v>
      </c>
      <c r="G12" s="96">
        <v>0.11</v>
      </c>
      <c r="H12" s="96">
        <v>12.5</v>
      </c>
      <c r="I12" s="96">
        <v>262</v>
      </c>
      <c r="J12" s="96">
        <v>3.6999999999999998E-2</v>
      </c>
      <c r="K12" s="96">
        <v>2.4</v>
      </c>
      <c r="L12" s="96">
        <v>50</v>
      </c>
      <c r="M12" s="96">
        <v>0.14499999999999999</v>
      </c>
      <c r="N12" s="96">
        <v>14.9</v>
      </c>
      <c r="O12" s="96" t="s">
        <v>330</v>
      </c>
      <c r="P12" s="96">
        <v>313</v>
      </c>
    </row>
    <row r="13" spans="2:16" ht="21" thickBot="1">
      <c r="B13" s="95" t="s">
        <v>332</v>
      </c>
      <c r="C13" s="96">
        <v>74763</v>
      </c>
      <c r="D13" s="96">
        <v>211.3</v>
      </c>
      <c r="E13" s="96">
        <v>0.97299999999999998</v>
      </c>
      <c r="F13" s="96">
        <v>79503</v>
      </c>
      <c r="G13" s="96">
        <v>1.19</v>
      </c>
      <c r="H13" s="96">
        <v>139.9</v>
      </c>
      <c r="I13" s="96">
        <v>2939</v>
      </c>
      <c r="J13" s="96">
        <v>4.2999999999999997E-2</v>
      </c>
      <c r="K13" s="96">
        <v>6.3</v>
      </c>
      <c r="L13" s="96">
        <v>131</v>
      </c>
      <c r="M13" s="96">
        <v>74764</v>
      </c>
      <c r="N13" s="96">
        <v>357.5</v>
      </c>
      <c r="O13" s="96">
        <v>0.97299999999999998</v>
      </c>
      <c r="P13" s="96">
        <v>82573</v>
      </c>
    </row>
    <row r="14" spans="2:16" ht="21" thickBot="1">
      <c r="B14" s="95" t="s">
        <v>333</v>
      </c>
      <c r="C14" s="96">
        <v>7495</v>
      </c>
      <c r="D14" s="96">
        <v>5.0999999999999997E-2</v>
      </c>
      <c r="E14" s="96">
        <v>9.5000000000000001E-2</v>
      </c>
      <c r="F14" s="96">
        <v>7526</v>
      </c>
      <c r="G14" s="96" t="s">
        <v>330</v>
      </c>
      <c r="H14" s="96" t="s">
        <v>330</v>
      </c>
      <c r="I14" s="96" t="s">
        <v>330</v>
      </c>
      <c r="J14" s="96" t="s">
        <v>330</v>
      </c>
      <c r="K14" s="96" t="s">
        <v>330</v>
      </c>
      <c r="L14" s="96" t="s">
        <v>330</v>
      </c>
      <c r="M14" s="96">
        <v>7495</v>
      </c>
      <c r="N14" s="96">
        <v>0.1</v>
      </c>
      <c r="O14" s="96">
        <v>9.5000000000000001E-2</v>
      </c>
      <c r="P14" s="96">
        <v>7526</v>
      </c>
    </row>
    <row r="15" spans="2:16" ht="21" thickBot="1">
      <c r="B15" s="95" t="s">
        <v>334</v>
      </c>
      <c r="C15" s="96" t="s">
        <v>330</v>
      </c>
      <c r="D15" s="96" t="s">
        <v>330</v>
      </c>
      <c r="E15" s="96" t="s">
        <v>330</v>
      </c>
      <c r="F15" s="96" t="s">
        <v>330</v>
      </c>
      <c r="G15" s="96">
        <v>0.95</v>
      </c>
      <c r="H15" s="96">
        <v>109.4</v>
      </c>
      <c r="I15" s="96">
        <v>2298</v>
      </c>
      <c r="J15" s="96">
        <v>0.95499999999999996</v>
      </c>
      <c r="K15" s="96">
        <v>62.6</v>
      </c>
      <c r="L15" s="96">
        <v>1353</v>
      </c>
      <c r="M15" s="96">
        <v>1.905</v>
      </c>
      <c r="N15" s="96">
        <v>172</v>
      </c>
      <c r="O15" s="96" t="s">
        <v>330</v>
      </c>
      <c r="P15" s="96">
        <v>3613</v>
      </c>
    </row>
    <row r="16" spans="2:16">
      <c r="C16">
        <f>SUM(C10:C15)</f>
        <v>1119065</v>
      </c>
      <c r="D16">
        <f t="shared" ref="D16:P16" si="0">SUM(D10:D15)</f>
        <v>655.22800000000007</v>
      </c>
      <c r="E16">
        <f t="shared" si="0"/>
        <v>11.991000000000001</v>
      </c>
      <c r="F16">
        <f t="shared" si="0"/>
        <v>1136544</v>
      </c>
      <c r="G16">
        <f t="shared" si="0"/>
        <v>4.55</v>
      </c>
      <c r="H16">
        <f t="shared" si="0"/>
        <v>526.5</v>
      </c>
      <c r="I16">
        <f t="shared" si="0"/>
        <v>11060</v>
      </c>
      <c r="J16">
        <f t="shared" si="0"/>
        <v>8.3849999999999998</v>
      </c>
      <c r="K16">
        <f t="shared" si="0"/>
        <v>552.9</v>
      </c>
      <c r="L16">
        <f t="shared" si="0"/>
        <v>11655</v>
      </c>
      <c r="M16">
        <f t="shared" si="0"/>
        <v>1119078.05</v>
      </c>
      <c r="N16">
        <f t="shared" si="0"/>
        <v>1734.6</v>
      </c>
      <c r="O16">
        <f t="shared" si="0"/>
        <v>11.991000000000001</v>
      </c>
      <c r="P16">
        <f t="shared" si="0"/>
        <v>1159221</v>
      </c>
    </row>
    <row r="18" spans="2:7">
      <c r="B18" s="97" t="s">
        <v>335</v>
      </c>
      <c r="F18">
        <f>F10+F13</f>
        <v>1118463</v>
      </c>
      <c r="G18" t="s">
        <v>336</v>
      </c>
    </row>
    <row r="19" spans="2:7">
      <c r="B19" t="s">
        <v>338</v>
      </c>
      <c r="F19">
        <v>16.190000000000001</v>
      </c>
      <c r="G19" t="s">
        <v>316</v>
      </c>
    </row>
    <row r="20" spans="2:7">
      <c r="B20" t="s">
        <v>339</v>
      </c>
      <c r="F20">
        <v>1596</v>
      </c>
      <c r="G20" t="s">
        <v>273</v>
      </c>
    </row>
    <row r="21" spans="2:7">
      <c r="B21" t="s">
        <v>340</v>
      </c>
      <c r="F21">
        <f>F20*F19</f>
        <v>25839.24</v>
      </c>
      <c r="G21" t="s">
        <v>341</v>
      </c>
    </row>
    <row r="23" spans="2:7">
      <c r="B23" t="s">
        <v>342</v>
      </c>
      <c r="F23">
        <f>F18/F21</f>
        <v>43.285444927946791</v>
      </c>
      <c r="G23" t="s">
        <v>343</v>
      </c>
    </row>
    <row r="25" spans="2:7">
      <c r="B25" t="s">
        <v>344</v>
      </c>
    </row>
    <row r="26" spans="2:7">
      <c r="B26" t="s">
        <v>345</v>
      </c>
    </row>
  </sheetData>
  <mergeCells count="11">
    <mergeCell ref="J6:L6"/>
    <mergeCell ref="J7:L7"/>
    <mergeCell ref="J8:L8"/>
    <mergeCell ref="M6:P8"/>
    <mergeCell ref="B6:B8"/>
    <mergeCell ref="C6:F6"/>
    <mergeCell ref="C7:F7"/>
    <mergeCell ref="C8:F8"/>
    <mergeCell ref="G6:I6"/>
    <mergeCell ref="G7:I7"/>
    <mergeCell ref="G8:I8"/>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2" workbookViewId="0">
      <selection activeCell="L22" sqref="L22"/>
    </sheetView>
  </sheetViews>
  <sheetFormatPr baseColWidth="10" defaultColWidth="8.83203125" defaultRowHeight="12" x14ac:dyDescent="0"/>
  <cols>
    <col min="1" max="1" width="23.6640625" style="210" customWidth="1"/>
    <col min="2" max="10" width="15.6640625" style="210" customWidth="1"/>
    <col min="11" max="11" width="8.83203125" style="210"/>
    <col min="12" max="12" width="16.5" style="210" customWidth="1"/>
    <col min="13" max="13" width="15.33203125" style="210" customWidth="1"/>
    <col min="14" max="16384" width="8.83203125" style="210"/>
  </cols>
  <sheetData>
    <row r="1" spans="1:12" ht="91.5" customHeight="1"/>
    <row r="2" spans="1:12" ht="23">
      <c r="A2" s="211" t="s">
        <v>451</v>
      </c>
      <c r="B2" s="211"/>
      <c r="C2" s="211"/>
      <c r="D2" s="211"/>
      <c r="E2" s="211"/>
      <c r="F2" s="211"/>
      <c r="G2" s="211"/>
    </row>
    <row r="3" spans="1:12" ht="23">
      <c r="A3" s="211" t="s">
        <v>452</v>
      </c>
      <c r="B3" s="211"/>
      <c r="C3" s="211"/>
      <c r="D3" s="211"/>
      <c r="E3" s="211"/>
      <c r="F3" s="211"/>
      <c r="G3" s="211"/>
    </row>
    <row r="4" spans="1:12" ht="15" customHeight="1" thickBot="1">
      <c r="A4" s="212"/>
      <c r="B4" s="212"/>
      <c r="C4" s="212"/>
      <c r="D4" s="212"/>
      <c r="E4" s="212"/>
      <c r="F4" s="212"/>
      <c r="G4" s="212"/>
    </row>
    <row r="5" spans="1:12" ht="12.75" customHeight="1">
      <c r="A5" s="276" t="s">
        <v>453</v>
      </c>
      <c r="B5" s="277"/>
      <c r="C5" s="277"/>
      <c r="D5" s="277"/>
      <c r="E5" s="277"/>
      <c r="F5" s="277"/>
      <c r="G5" s="277"/>
      <c r="H5" s="277"/>
      <c r="I5" s="278"/>
    </row>
    <row r="6" spans="1:12" ht="13.5" customHeight="1" thickBot="1">
      <c r="A6" s="279"/>
      <c r="B6" s="280"/>
      <c r="C6" s="280"/>
      <c r="D6" s="280"/>
      <c r="E6" s="280"/>
      <c r="F6" s="280"/>
      <c r="G6" s="280"/>
      <c r="H6" s="280"/>
      <c r="I6" s="281"/>
    </row>
    <row r="7" spans="1:12" ht="14.25" customHeight="1">
      <c r="A7" s="282">
        <v>2005</v>
      </c>
      <c r="B7" s="285" t="s">
        <v>454</v>
      </c>
      <c r="C7" s="288" t="s">
        <v>455</v>
      </c>
      <c r="D7" s="288" t="s">
        <v>456</v>
      </c>
      <c r="E7" s="288" t="s">
        <v>457</v>
      </c>
      <c r="F7" s="288" t="s">
        <v>458</v>
      </c>
      <c r="G7" s="291" t="s">
        <v>459</v>
      </c>
      <c r="H7" s="288" t="s">
        <v>460</v>
      </c>
      <c r="I7" s="294" t="s">
        <v>461</v>
      </c>
    </row>
    <row r="8" spans="1:12" ht="14.25" customHeight="1">
      <c r="A8" s="283"/>
      <c r="B8" s="286"/>
      <c r="C8" s="289"/>
      <c r="D8" s="289"/>
      <c r="E8" s="289"/>
      <c r="F8" s="289"/>
      <c r="G8" s="292"/>
      <c r="H8" s="289"/>
      <c r="I8" s="295"/>
      <c r="L8" s="210" t="s">
        <v>462</v>
      </c>
    </row>
    <row r="9" spans="1:12" ht="14.25" customHeight="1" thickBot="1">
      <c r="A9" s="284"/>
      <c r="B9" s="287"/>
      <c r="C9" s="290"/>
      <c r="D9" s="290"/>
      <c r="E9" s="290"/>
      <c r="F9" s="290"/>
      <c r="G9" s="293"/>
      <c r="H9" s="290"/>
      <c r="I9" s="296"/>
      <c r="K9" s="210" t="s">
        <v>463</v>
      </c>
      <c r="L9" s="213" t="s">
        <v>464</v>
      </c>
    </row>
    <row r="10" spans="1:12">
      <c r="A10" s="214" t="s">
        <v>466</v>
      </c>
      <c r="B10" s="215">
        <v>9970.9677419354848</v>
      </c>
      <c r="C10" s="216">
        <v>58.440322580645159</v>
      </c>
      <c r="D10" s="217">
        <v>719.35483870967732</v>
      </c>
      <c r="E10" s="217">
        <v>19890.356546278104</v>
      </c>
      <c r="F10" s="217">
        <v>368336.78387096769</v>
      </c>
      <c r="G10" s="218">
        <v>69602.532258064515</v>
      </c>
      <c r="H10" s="219">
        <v>1520.2906451612901</v>
      </c>
      <c r="I10" s="218">
        <f t="shared" ref="I10:I21" si="0">SUM(B10:H10)</f>
        <v>470098.72622369742</v>
      </c>
      <c r="K10" s="220">
        <v>31</v>
      </c>
      <c r="L10" s="221">
        <f>K10*G10</f>
        <v>2157678.5</v>
      </c>
    </row>
    <row r="11" spans="1:12">
      <c r="A11" s="222" t="s">
        <v>467</v>
      </c>
      <c r="B11" s="215">
        <v>10678.571428571431</v>
      </c>
      <c r="C11" s="223">
        <v>55.454678571428573</v>
      </c>
      <c r="D11" s="224">
        <v>703.57142857142856</v>
      </c>
      <c r="E11" s="224">
        <v>20483.676776454497</v>
      </c>
      <c r="F11" s="224">
        <v>375022.42499999999</v>
      </c>
      <c r="G11" s="218">
        <v>71847.803571428565</v>
      </c>
      <c r="H11" s="219">
        <v>1343.619285714286</v>
      </c>
      <c r="I11" s="218">
        <f t="shared" si="0"/>
        <v>480135.12216931162</v>
      </c>
      <c r="K11" s="220">
        <v>28</v>
      </c>
      <c r="L11" s="221">
        <f t="shared" ref="L11:L21" si="1">K11*G11</f>
        <v>2011738.4999999998</v>
      </c>
    </row>
    <row r="12" spans="1:12">
      <c r="A12" s="222" t="s">
        <v>468</v>
      </c>
      <c r="B12" s="215">
        <v>10696.774193548385</v>
      </c>
      <c r="C12" s="223">
        <v>57.052806451612902</v>
      </c>
      <c r="D12" s="224">
        <v>680.64516129032256</v>
      </c>
      <c r="E12" s="224">
        <v>20750.220441052068</v>
      </c>
      <c r="F12" s="224">
        <v>379336.35806451604</v>
      </c>
      <c r="G12" s="218">
        <v>73147.229032258081</v>
      </c>
      <c r="H12" s="219">
        <v>1500.7290322580648</v>
      </c>
      <c r="I12" s="218">
        <f t="shared" si="0"/>
        <v>486169.00873137458</v>
      </c>
      <c r="K12" s="220">
        <v>31</v>
      </c>
      <c r="L12" s="221">
        <f t="shared" si="1"/>
        <v>2267564.1000000006</v>
      </c>
    </row>
    <row r="13" spans="1:12">
      <c r="A13" s="222" t="s">
        <v>469</v>
      </c>
      <c r="B13" s="215">
        <v>10760</v>
      </c>
      <c r="C13" s="223">
        <v>57.596766666666667</v>
      </c>
      <c r="D13" s="224">
        <v>696.66666666666652</v>
      </c>
      <c r="E13" s="224">
        <v>20352.997350547528</v>
      </c>
      <c r="F13" s="224">
        <v>381803.3</v>
      </c>
      <c r="G13" s="218">
        <v>78281.486666666664</v>
      </c>
      <c r="H13" s="219">
        <v>1621.0626666666669</v>
      </c>
      <c r="I13" s="218">
        <f t="shared" si="0"/>
        <v>493573.11011721427</v>
      </c>
      <c r="K13" s="220">
        <v>30</v>
      </c>
      <c r="L13" s="221">
        <f t="shared" si="1"/>
        <v>2348444.6</v>
      </c>
    </row>
    <row r="14" spans="1:12">
      <c r="A14" s="222" t="s">
        <v>470</v>
      </c>
      <c r="B14" s="215">
        <v>9974.1935483870984</v>
      </c>
      <c r="C14" s="223">
        <v>47.061677419354837</v>
      </c>
      <c r="D14" s="224">
        <v>687.0967741935483</v>
      </c>
      <c r="E14" s="224">
        <v>18954.343267708351</v>
      </c>
      <c r="F14" s="224">
        <v>371813.79032258067</v>
      </c>
      <c r="G14" s="218">
        <v>76220.34516129033</v>
      </c>
      <c r="H14" s="219">
        <v>1877.188387096774</v>
      </c>
      <c r="I14" s="218">
        <f t="shared" si="0"/>
        <v>479574.01913867611</v>
      </c>
      <c r="K14" s="220">
        <v>31</v>
      </c>
      <c r="L14" s="221">
        <f t="shared" si="1"/>
        <v>2362830.7000000002</v>
      </c>
    </row>
    <row r="15" spans="1:12">
      <c r="A15" s="222" t="s">
        <v>471</v>
      </c>
      <c r="B15" s="215">
        <v>10920.256333333333</v>
      </c>
      <c r="C15" s="223">
        <v>42.814399999999999</v>
      </c>
      <c r="D15" s="224">
        <v>623.33333333333337</v>
      </c>
      <c r="E15" s="224">
        <v>19559.060033333339</v>
      </c>
      <c r="F15" s="224">
        <v>365657.75666666671</v>
      </c>
      <c r="G15" s="218">
        <v>72280.22</v>
      </c>
      <c r="H15" s="219">
        <v>1829.9816666666668</v>
      </c>
      <c r="I15" s="218">
        <f t="shared" si="0"/>
        <v>470913.42243333336</v>
      </c>
      <c r="K15" s="220">
        <v>30</v>
      </c>
      <c r="L15" s="221">
        <f t="shared" si="1"/>
        <v>2168406.6</v>
      </c>
    </row>
    <row r="16" spans="1:12">
      <c r="A16" s="222" t="s">
        <v>472</v>
      </c>
      <c r="B16" s="215">
        <v>11150.698548387098</v>
      </c>
      <c r="C16" s="223">
        <v>38.229516129032255</v>
      </c>
      <c r="D16" s="224">
        <v>677.41935483870952</v>
      </c>
      <c r="E16" s="224">
        <v>19505.309645161291</v>
      </c>
      <c r="F16" s="224">
        <v>375294.09677419352</v>
      </c>
      <c r="G16" s="218">
        <v>73621.651612903239</v>
      </c>
      <c r="H16" s="219">
        <v>1778.1074193548393</v>
      </c>
      <c r="I16" s="218">
        <f t="shared" si="0"/>
        <v>482065.51287096774</v>
      </c>
      <c r="K16" s="220">
        <v>31</v>
      </c>
      <c r="L16" s="221">
        <f t="shared" si="1"/>
        <v>2282271.2000000002</v>
      </c>
    </row>
    <row r="17" spans="1:13">
      <c r="A17" s="225" t="s">
        <v>473</v>
      </c>
      <c r="B17" s="215">
        <v>12018.587903225805</v>
      </c>
      <c r="C17" s="223">
        <v>25.851129032258065</v>
      </c>
      <c r="D17" s="224">
        <v>690.32258064516111</v>
      </c>
      <c r="E17" s="224">
        <v>19469.725709677423</v>
      </c>
      <c r="F17" s="224">
        <v>374382.28387096775</v>
      </c>
      <c r="G17" s="218">
        <v>76171.941935483876</v>
      </c>
      <c r="H17" s="219">
        <v>1796.8848387096773</v>
      </c>
      <c r="I17" s="218">
        <f t="shared" si="0"/>
        <v>484555.59796774195</v>
      </c>
      <c r="K17" s="220">
        <v>31</v>
      </c>
      <c r="L17" s="221">
        <f t="shared" si="1"/>
        <v>2361330.2000000002</v>
      </c>
    </row>
    <row r="18" spans="1:13">
      <c r="A18" s="222" t="s">
        <v>474</v>
      </c>
      <c r="B18" s="215">
        <v>11696.694499999996</v>
      </c>
      <c r="C18" s="223">
        <v>58.558566666666671</v>
      </c>
      <c r="D18" s="224">
        <v>736.66666666666663</v>
      </c>
      <c r="E18" s="224">
        <v>19335.115799999996</v>
      </c>
      <c r="F18" s="224">
        <v>370772.62666666665</v>
      </c>
      <c r="G18" s="218">
        <v>74454.603333333318</v>
      </c>
      <c r="H18" s="219">
        <v>1619.6126666666667</v>
      </c>
      <c r="I18" s="218">
        <f t="shared" si="0"/>
        <v>478673.87819999998</v>
      </c>
      <c r="K18" s="220">
        <v>30</v>
      </c>
      <c r="L18" s="221">
        <f t="shared" si="1"/>
        <v>2233638.0999999996</v>
      </c>
    </row>
    <row r="19" spans="1:13">
      <c r="A19" s="222" t="s">
        <v>475</v>
      </c>
      <c r="B19" s="215">
        <v>11502.16177419355</v>
      </c>
      <c r="C19" s="223">
        <v>56.006838709677425</v>
      </c>
      <c r="D19" s="224">
        <v>725.80645161290317</v>
      </c>
      <c r="E19" s="224">
        <v>19680.829903225807</v>
      </c>
      <c r="F19" s="224">
        <v>374534.75806451612</v>
      </c>
      <c r="G19" s="218">
        <v>75188.34193548387</v>
      </c>
      <c r="H19" s="219">
        <v>1454.1154838709676</v>
      </c>
      <c r="I19" s="218">
        <f t="shared" si="0"/>
        <v>483142.02045161289</v>
      </c>
      <c r="K19" s="220">
        <v>31</v>
      </c>
      <c r="L19" s="221">
        <f t="shared" si="1"/>
        <v>2330838.6</v>
      </c>
    </row>
    <row r="20" spans="1:13">
      <c r="A20" s="222" t="s">
        <v>476</v>
      </c>
      <c r="B20" s="215">
        <v>11499.319333333333</v>
      </c>
      <c r="C20" s="223">
        <v>54.301033333333329</v>
      </c>
      <c r="D20" s="224">
        <v>723.33333333333326</v>
      </c>
      <c r="E20" s="224">
        <v>20319.630100000002</v>
      </c>
      <c r="F20" s="224">
        <v>378269.47333333327</v>
      </c>
      <c r="G20" s="218">
        <v>75669.893333333326</v>
      </c>
      <c r="H20" s="219">
        <v>1400.0666666666668</v>
      </c>
      <c r="I20" s="218">
        <f t="shared" si="0"/>
        <v>487936.01713333325</v>
      </c>
      <c r="K20" s="220">
        <v>30</v>
      </c>
      <c r="L20" s="221">
        <f t="shared" si="1"/>
        <v>2270096.7999999998</v>
      </c>
    </row>
    <row r="21" spans="1:13" ht="13" thickBot="1">
      <c r="A21" s="226" t="s">
        <v>477</v>
      </c>
      <c r="B21" s="227">
        <v>10825.91806451613</v>
      </c>
      <c r="C21" s="228">
        <v>44.149451612903228</v>
      </c>
      <c r="D21" s="229">
        <v>703.22580645161293</v>
      </c>
      <c r="E21" s="229">
        <v>20627.135064516129</v>
      </c>
      <c r="F21" s="229">
        <v>380472.73548387096</v>
      </c>
      <c r="G21" s="230">
        <v>75405.022580645164</v>
      </c>
      <c r="H21" s="231">
        <v>1364.0519354838709</v>
      </c>
      <c r="I21" s="232">
        <f t="shared" si="0"/>
        <v>489442.23838709679</v>
      </c>
      <c r="K21" s="220">
        <v>31</v>
      </c>
      <c r="L21" s="221">
        <f t="shared" si="1"/>
        <v>2337555.7000000002</v>
      </c>
    </row>
    <row r="22" spans="1:13">
      <c r="A22" s="233"/>
      <c r="B22" s="233"/>
      <c r="C22" s="233"/>
      <c r="D22" s="233"/>
      <c r="E22" s="233"/>
      <c r="F22" s="233"/>
      <c r="G22" s="233"/>
      <c r="K22" s="220">
        <f>SUM(K10:K21)</f>
        <v>365</v>
      </c>
      <c r="L22" s="234">
        <f>SUM(L10:L21)</f>
        <v>27132393.600000001</v>
      </c>
    </row>
    <row r="23" spans="1:13">
      <c r="A23" s="275" t="s">
        <v>478</v>
      </c>
      <c r="B23" s="275"/>
      <c r="C23" s="275"/>
      <c r="D23" s="275"/>
      <c r="E23" s="275"/>
      <c r="F23" s="275"/>
      <c r="G23" s="275"/>
    </row>
    <row r="24" spans="1:13">
      <c r="A24" s="235" t="s">
        <v>479</v>
      </c>
      <c r="B24" s="235"/>
      <c r="C24" s="235"/>
      <c r="D24" s="235"/>
      <c r="E24" s="235"/>
      <c r="F24" s="235"/>
      <c r="G24" s="235"/>
      <c r="L24" s="234">
        <f>L22*Calculations!E76</f>
        <v>1022619914784</v>
      </c>
      <c r="M24" s="210" t="s">
        <v>465</v>
      </c>
    </row>
    <row r="25" spans="1:13">
      <c r="A25" s="236" t="s">
        <v>480</v>
      </c>
      <c r="B25" s="236"/>
      <c r="C25" s="236"/>
      <c r="D25" s="236"/>
      <c r="E25" s="236"/>
      <c r="F25" s="236"/>
      <c r="G25" s="236"/>
      <c r="L25" s="234">
        <f>L24/1000000</f>
        <v>1022619.914784</v>
      </c>
      <c r="M25" s="210" t="s">
        <v>304</v>
      </c>
    </row>
    <row r="26" spans="1:13">
      <c r="A26" s="233" t="s">
        <v>481</v>
      </c>
      <c r="B26" s="233"/>
      <c r="C26" s="233"/>
      <c r="D26" s="233"/>
      <c r="E26" s="233"/>
      <c r="F26" s="233"/>
      <c r="G26" s="233"/>
    </row>
    <row r="27" spans="1:13">
      <c r="A27" s="233" t="s">
        <v>482</v>
      </c>
      <c r="B27" s="233"/>
      <c r="C27" s="233"/>
      <c r="D27" s="233"/>
      <c r="E27" s="233"/>
      <c r="F27" s="233"/>
      <c r="G27" s="233"/>
    </row>
    <row r="28" spans="1:13">
      <c r="A28" s="210" t="s">
        <v>483</v>
      </c>
    </row>
    <row r="29" spans="1:13">
      <c r="A29" s="237"/>
      <c r="B29" s="238"/>
      <c r="C29" s="239"/>
      <c r="D29" s="239"/>
      <c r="E29" s="239"/>
      <c r="F29" s="239"/>
      <c r="G29" s="239"/>
      <c r="H29" s="240"/>
    </row>
    <row r="30" spans="1:13" ht="15">
      <c r="A30" s="235" t="s">
        <v>484</v>
      </c>
      <c r="B30" s="241"/>
      <c r="C30" s="241"/>
      <c r="D30" s="241"/>
      <c r="E30" s="241"/>
      <c r="F30" s="241"/>
      <c r="G30" s="241"/>
    </row>
    <row r="31" spans="1:13">
      <c r="A31" s="235" t="s">
        <v>485</v>
      </c>
      <c r="B31" s="235"/>
      <c r="C31" s="235"/>
      <c r="D31" s="235"/>
      <c r="E31" s="235"/>
      <c r="F31" s="235"/>
      <c r="G31" s="235"/>
    </row>
    <row r="32" spans="1:13">
      <c r="A32" s="236" t="s">
        <v>486</v>
      </c>
      <c r="B32" s="236"/>
      <c r="C32" s="236"/>
      <c r="D32" s="236"/>
      <c r="E32" s="236"/>
      <c r="F32" s="236"/>
      <c r="G32" s="236"/>
    </row>
    <row r="33" spans="1:8">
      <c r="A33" s="233" t="s">
        <v>487</v>
      </c>
      <c r="B33" s="233"/>
      <c r="C33" s="233"/>
      <c r="D33" s="233"/>
      <c r="E33" s="233"/>
      <c r="F33" s="233"/>
      <c r="G33" s="233"/>
    </row>
    <row r="34" spans="1:8">
      <c r="A34" s="233" t="s">
        <v>488</v>
      </c>
      <c r="B34" s="233"/>
      <c r="C34" s="233"/>
      <c r="D34" s="233"/>
      <c r="E34" s="233"/>
      <c r="F34" s="233"/>
      <c r="G34" s="233"/>
    </row>
    <row r="35" spans="1:8">
      <c r="A35" s="210" t="s">
        <v>489</v>
      </c>
    </row>
    <row r="36" spans="1:8">
      <c r="A36" s="237"/>
      <c r="B36" s="238"/>
      <c r="C36" s="239"/>
      <c r="D36" s="239"/>
      <c r="E36" s="239"/>
      <c r="F36" s="239"/>
      <c r="G36" s="239"/>
      <c r="H36" s="240"/>
    </row>
  </sheetData>
  <mergeCells count="11">
    <mergeCell ref="A23:G23"/>
    <mergeCell ref="A5:I6"/>
    <mergeCell ref="A7:A9"/>
    <mergeCell ref="B7:B9"/>
    <mergeCell ref="C7:C9"/>
    <mergeCell ref="D7:D9"/>
    <mergeCell ref="E7:E9"/>
    <mergeCell ref="F7:F9"/>
    <mergeCell ref="G7:G9"/>
    <mergeCell ref="H7:H9"/>
    <mergeCell ref="I7:I9"/>
  </mergeCells>
  <pageMargins left="0.75" right="0.75" top="1" bottom="1" header="0.5" footer="0.5"/>
  <pageSetup scale="74" orientation="landscape"/>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88"/>
  <sheetViews>
    <sheetView showGridLines="0" topLeftCell="X4" zoomScale="125" workbookViewId="0">
      <selection activeCell="AE9" sqref="AE9"/>
    </sheetView>
  </sheetViews>
  <sheetFormatPr baseColWidth="10" defaultColWidth="9.1640625" defaultRowHeight="12" x14ac:dyDescent="0"/>
  <cols>
    <col min="1" max="1" width="4.33203125" style="106" customWidth="1"/>
    <col min="2" max="2" width="2.5" style="104" customWidth="1"/>
    <col min="3" max="3" width="18.5" style="104" customWidth="1"/>
    <col min="4" max="4" width="7.5" style="104" customWidth="1"/>
    <col min="5" max="5" width="15.33203125" style="104" customWidth="1"/>
    <col min="6" max="17" width="12.33203125" style="105" customWidth="1"/>
    <col min="18" max="18" width="12.33203125" style="104" customWidth="1"/>
    <col min="19" max="21" width="10.5" style="104" customWidth="1"/>
    <col min="22" max="22" width="11" style="104" customWidth="1"/>
    <col min="23" max="30" width="9.1640625" style="104"/>
    <col min="31" max="31" width="9.83203125" style="104" bestFit="1" customWidth="1"/>
    <col min="32" max="33" width="9.1640625" style="104"/>
    <col min="34" max="34" width="9.83203125" style="104" bestFit="1" customWidth="1"/>
    <col min="35" max="16384" width="9.1640625" style="104"/>
  </cols>
  <sheetData>
    <row r="1" spans="1:32" s="206" customFormat="1" ht="15">
      <c r="A1" s="202" t="s">
        <v>450</v>
      </c>
      <c r="B1" s="202"/>
      <c r="C1" s="209"/>
      <c r="D1" s="115" t="s">
        <v>449</v>
      </c>
      <c r="E1" s="208"/>
      <c r="F1" s="207"/>
      <c r="G1" s="207"/>
      <c r="H1" s="207"/>
      <c r="I1" s="207"/>
      <c r="J1" s="207"/>
      <c r="K1" s="207"/>
      <c r="L1" s="207"/>
      <c r="M1" s="207"/>
      <c r="N1" s="207"/>
      <c r="O1" s="207"/>
      <c r="P1" s="207"/>
      <c r="Q1" s="207"/>
    </row>
    <row r="2" spans="1:32" ht="15">
      <c r="A2" s="202" t="s">
        <v>448</v>
      </c>
      <c r="B2" s="189"/>
      <c r="C2" s="115"/>
      <c r="D2" s="115" t="s">
        <v>506</v>
      </c>
      <c r="E2" s="189"/>
      <c r="H2" s="297"/>
      <c r="I2" s="297"/>
      <c r="J2" s="297"/>
      <c r="K2" s="297"/>
      <c r="L2" s="297"/>
      <c r="M2" s="297"/>
      <c r="N2" s="297"/>
    </row>
    <row r="3" spans="1:32" ht="16">
      <c r="A3" s="205" t="s">
        <v>447</v>
      </c>
      <c r="B3" s="189"/>
      <c r="C3" s="204"/>
      <c r="D3" s="203" t="s">
        <v>446</v>
      </c>
      <c r="E3" s="189"/>
      <c r="H3" s="297"/>
      <c r="I3" s="297"/>
      <c r="J3" s="297"/>
      <c r="K3" s="297"/>
      <c r="L3" s="297"/>
      <c r="M3" s="297"/>
      <c r="N3" s="297"/>
    </row>
    <row r="4" spans="1:32" ht="15">
      <c r="A4" s="202"/>
      <c r="B4" s="202"/>
    </row>
    <row r="5" spans="1:32" s="106" customFormat="1" ht="13">
      <c r="A5" s="201" t="s">
        <v>445</v>
      </c>
      <c r="B5" s="201"/>
      <c r="F5" s="200">
        <v>1990</v>
      </c>
      <c r="G5" s="200">
        <f t="shared" ref="G5:T5" si="0">F5+1</f>
        <v>1991</v>
      </c>
      <c r="H5" s="200">
        <f t="shared" si="0"/>
        <v>1992</v>
      </c>
      <c r="I5" s="200">
        <f t="shared" si="0"/>
        <v>1993</v>
      </c>
      <c r="J5" s="200">
        <f t="shared" si="0"/>
        <v>1994</v>
      </c>
      <c r="K5" s="200">
        <f t="shared" si="0"/>
        <v>1995</v>
      </c>
      <c r="L5" s="200">
        <f t="shared" si="0"/>
        <v>1996</v>
      </c>
      <c r="M5" s="200">
        <f t="shared" si="0"/>
        <v>1997</v>
      </c>
      <c r="N5" s="200">
        <f t="shared" si="0"/>
        <v>1998</v>
      </c>
      <c r="O5" s="200">
        <f t="shared" si="0"/>
        <v>1999</v>
      </c>
      <c r="P5" s="200">
        <f t="shared" si="0"/>
        <v>2000</v>
      </c>
      <c r="Q5" s="200">
        <f t="shared" si="0"/>
        <v>2001</v>
      </c>
      <c r="R5" s="200">
        <f t="shared" si="0"/>
        <v>2002</v>
      </c>
      <c r="S5" s="200">
        <f t="shared" si="0"/>
        <v>2003</v>
      </c>
      <c r="T5" s="200">
        <f t="shared" si="0"/>
        <v>2004</v>
      </c>
      <c r="U5" s="200">
        <v>2005</v>
      </c>
      <c r="V5" s="200">
        <v>2006</v>
      </c>
      <c r="W5" s="200">
        <v>2007</v>
      </c>
      <c r="X5" s="200">
        <v>2008</v>
      </c>
      <c r="Y5" s="200">
        <v>2009</v>
      </c>
      <c r="AA5" s="199" t="s">
        <v>444</v>
      </c>
    </row>
    <row r="6" spans="1:32" s="197" customFormat="1" ht="14.25" customHeight="1">
      <c r="C6" s="198"/>
      <c r="D6" s="198"/>
      <c r="E6" s="198"/>
      <c r="F6" s="298" t="s">
        <v>443</v>
      </c>
      <c r="G6" s="298"/>
      <c r="H6" s="298"/>
      <c r="I6" s="298"/>
      <c r="J6" s="298"/>
      <c r="K6" s="298"/>
      <c r="L6" s="298"/>
      <c r="M6" s="298"/>
      <c r="N6" s="298"/>
      <c r="O6" s="298"/>
      <c r="P6" s="298"/>
      <c r="Q6" s="298"/>
    </row>
    <row r="7" spans="1:32" s="192" customFormat="1" ht="22.5" customHeight="1" thickBot="1">
      <c r="A7" s="196" t="s">
        <v>442</v>
      </c>
      <c r="B7" s="195"/>
      <c r="C7" s="194"/>
      <c r="D7" s="194"/>
      <c r="E7" s="194"/>
      <c r="F7" s="193">
        <v>49777.817582276235</v>
      </c>
      <c r="G7" s="193">
        <v>49035.952741191672</v>
      </c>
      <c r="H7" s="193">
        <v>48313.834462181396</v>
      </c>
      <c r="I7" s="193">
        <v>50918.934649926159</v>
      </c>
      <c r="J7" s="193">
        <v>53419.437332733767</v>
      </c>
      <c r="K7" s="193">
        <v>57439.999560276003</v>
      </c>
      <c r="L7" s="193">
        <v>59351.085714613451</v>
      </c>
      <c r="M7" s="193">
        <v>58094.630135240441</v>
      </c>
      <c r="N7" s="193">
        <v>58978.195968893153</v>
      </c>
      <c r="O7" s="193">
        <v>60826.590278254902</v>
      </c>
      <c r="P7" s="193">
        <v>62279.164821725324</v>
      </c>
      <c r="Q7" s="193">
        <v>64223.581290192546</v>
      </c>
      <c r="R7" s="193">
        <v>61428.138604329863</v>
      </c>
      <c r="S7" s="193">
        <v>62702.253929129263</v>
      </c>
      <c r="T7" s="193">
        <v>65430.904471422909</v>
      </c>
      <c r="U7" s="193">
        <v>62731.549934834089</v>
      </c>
      <c r="V7" s="193">
        <v>61563.075281883044</v>
      </c>
      <c r="W7" s="193">
        <v>65170.176502474467</v>
      </c>
      <c r="X7" s="193">
        <v>65931.469122621143</v>
      </c>
      <c r="Y7" s="193">
        <v>63754.740136068009</v>
      </c>
    </row>
    <row r="8" spans="1:32" s="189" customFormat="1" ht="13" thickTop="1">
      <c r="A8" s="115" t="s">
        <v>441</v>
      </c>
      <c r="B8" s="191"/>
      <c r="C8" s="191"/>
      <c r="E8" s="190"/>
      <c r="F8" s="173">
        <v>41008.238859446115</v>
      </c>
      <c r="G8" s="173">
        <v>40031.804188696784</v>
      </c>
      <c r="H8" s="173">
        <v>39241.897106063909</v>
      </c>
      <c r="I8" s="173">
        <v>41769.693298280101</v>
      </c>
      <c r="J8" s="173">
        <v>44032.537703727903</v>
      </c>
      <c r="K8" s="173">
        <v>47804.999512683651</v>
      </c>
      <c r="L8" s="173">
        <v>49346.217043492332</v>
      </c>
      <c r="M8" s="173">
        <v>47714.739732996757</v>
      </c>
      <c r="N8" s="173">
        <v>48718.865385112913</v>
      </c>
      <c r="O8" s="173">
        <v>50286.970636709084</v>
      </c>
      <c r="P8" s="173">
        <v>51578.054088456236</v>
      </c>
      <c r="Q8" s="173">
        <v>54204.388089531938</v>
      </c>
      <c r="R8" s="173">
        <v>51502.354488881101</v>
      </c>
      <c r="S8" s="173">
        <v>52441.05000196219</v>
      </c>
      <c r="T8" s="173">
        <v>54955.285216514319</v>
      </c>
      <c r="U8" s="173">
        <v>52416.21604242453</v>
      </c>
      <c r="V8" s="173">
        <v>51758.647295414223</v>
      </c>
      <c r="W8" s="173">
        <v>55272.355251547735</v>
      </c>
      <c r="X8" s="173">
        <v>56003.206036408985</v>
      </c>
      <c r="Y8" s="173">
        <v>54105.155102315402</v>
      </c>
      <c r="AD8" s="156" t="s">
        <v>440</v>
      </c>
      <c r="AE8" s="146" t="s">
        <v>439</v>
      </c>
      <c r="AF8" s="146" t="s">
        <v>438</v>
      </c>
    </row>
    <row r="9" spans="1:32">
      <c r="A9" s="143" t="s">
        <v>377</v>
      </c>
      <c r="B9" s="142" t="s">
        <v>437</v>
      </c>
      <c r="C9" s="142"/>
      <c r="F9" s="188">
        <v>18931.052808146254</v>
      </c>
      <c r="G9" s="188">
        <v>17727.044200080167</v>
      </c>
      <c r="H9" s="188">
        <v>16593.06400888701</v>
      </c>
      <c r="I9" s="188">
        <v>18750.334729926391</v>
      </c>
      <c r="J9" s="188">
        <v>18811.654109652598</v>
      </c>
      <c r="K9" s="188">
        <v>21113.231853293892</v>
      </c>
      <c r="L9" s="188">
        <v>21529.609748293296</v>
      </c>
      <c r="M9" s="188">
        <v>19228.892216347169</v>
      </c>
      <c r="N9" s="188">
        <v>19688.066381736207</v>
      </c>
      <c r="O9" s="188">
        <v>21538.672943659705</v>
      </c>
      <c r="P9" s="188">
        <v>22507.514517613003</v>
      </c>
      <c r="Q9" s="188">
        <v>24852.806062429634</v>
      </c>
      <c r="R9" s="188">
        <v>22589.872793736446</v>
      </c>
      <c r="S9" s="188">
        <v>22176.573578234504</v>
      </c>
      <c r="T9" s="188">
        <v>23716.475792796064</v>
      </c>
      <c r="U9" s="188">
        <v>22035.23842008668</v>
      </c>
      <c r="V9" s="188">
        <v>21999.798389746193</v>
      </c>
      <c r="W9" s="188">
        <v>24663.338449258117</v>
      </c>
      <c r="X9" s="188">
        <v>24190.391129350941</v>
      </c>
      <c r="Y9" s="188">
        <v>23548.468510686438</v>
      </c>
      <c r="AD9" s="104">
        <v>2005</v>
      </c>
      <c r="AE9" s="187">
        <f>SUMPRODUCT(AA8:AA37,U8:U37)</f>
        <v>11215.485230159782</v>
      </c>
      <c r="AF9" s="107">
        <f>AE9/U7</f>
        <v>0.17878539972008495</v>
      </c>
    </row>
    <row r="10" spans="1:32">
      <c r="A10" s="123"/>
      <c r="B10" s="122" t="s">
        <v>436</v>
      </c>
      <c r="C10" s="167"/>
      <c r="F10" s="186">
        <v>802.60359021754005</v>
      </c>
      <c r="G10" s="186">
        <v>471.60469600515552</v>
      </c>
      <c r="H10" s="186">
        <v>935.55416962075583</v>
      </c>
      <c r="I10" s="186">
        <v>1951.5133187351041</v>
      </c>
      <c r="J10" s="186">
        <v>1796.0118144242117</v>
      </c>
      <c r="K10" s="186">
        <v>2234.0888945993152</v>
      </c>
      <c r="L10" s="186">
        <v>336.03921083783638</v>
      </c>
      <c r="M10" s="186">
        <v>686.74356954431323</v>
      </c>
      <c r="N10" s="186">
        <v>1426.7097619774861</v>
      </c>
      <c r="O10" s="186">
        <v>716.71215971568881</v>
      </c>
      <c r="P10" s="186">
        <v>1813.2245718135839</v>
      </c>
      <c r="Q10" s="186">
        <v>2363.6234239342489</v>
      </c>
      <c r="R10" s="186">
        <v>709.57037963997482</v>
      </c>
      <c r="S10" s="186">
        <v>729.0506464758796</v>
      </c>
      <c r="T10" s="186">
        <v>1419.0384242439718</v>
      </c>
      <c r="U10" s="186">
        <v>1098.0854934720462</v>
      </c>
      <c r="V10" s="186">
        <v>997.273466321461</v>
      </c>
      <c r="W10" s="186">
        <v>1069.4507807566565</v>
      </c>
      <c r="X10" s="186">
        <v>1410.5170295875921</v>
      </c>
      <c r="Y10" s="186">
        <v>1236.2977654513884</v>
      </c>
      <c r="AD10" s="104">
        <v>2009</v>
      </c>
      <c r="AE10" s="187">
        <f>SUMPRODUCT(AA8:AA63,Y8:Y63)</f>
        <v>13284.709465779943</v>
      </c>
      <c r="AF10" s="107">
        <f>AE10/Y7</f>
        <v>0.20837210593952959</v>
      </c>
    </row>
    <row r="11" spans="1:32">
      <c r="A11" s="123"/>
      <c r="B11" s="122" t="s">
        <v>435</v>
      </c>
      <c r="C11" s="167"/>
      <c r="F11" s="186">
        <v>3546.042234461745</v>
      </c>
      <c r="G11" s="186">
        <v>2881.4281325627508</v>
      </c>
      <c r="H11" s="186">
        <v>1830.2588649860786</v>
      </c>
      <c r="I11" s="186">
        <v>1573.1932415337585</v>
      </c>
      <c r="J11" s="186">
        <v>2446.7313555219766</v>
      </c>
      <c r="K11" s="186">
        <v>3558.9031707688209</v>
      </c>
      <c r="L11" s="186">
        <v>4422.2653622338103</v>
      </c>
      <c r="M11" s="186">
        <v>2808.9015914942916</v>
      </c>
      <c r="N11" s="186">
        <v>3518.4826045675418</v>
      </c>
      <c r="O11" s="186">
        <v>5067.3224698144031</v>
      </c>
      <c r="P11" s="186">
        <v>3774.3688900799611</v>
      </c>
      <c r="Q11" s="186">
        <v>5410.0800753855747</v>
      </c>
      <c r="R11" s="186">
        <v>5597.6937364868836</v>
      </c>
      <c r="S11" s="186">
        <v>6021.5450702708022</v>
      </c>
      <c r="T11" s="186">
        <v>6531.0290356303412</v>
      </c>
      <c r="U11" s="186">
        <v>5762.9346834940525</v>
      </c>
      <c r="V11" s="186">
        <v>5776.4151095174202</v>
      </c>
      <c r="W11" s="186">
        <v>6222.8010567079873</v>
      </c>
      <c r="X11" s="186">
        <v>6183.4786013353441</v>
      </c>
      <c r="Y11" s="186">
        <v>6666.9831048638716</v>
      </c>
      <c r="AA11" s="185">
        <v>0.9</v>
      </c>
      <c r="AB11" s="104" t="s">
        <v>434</v>
      </c>
    </row>
    <row r="12" spans="1:32">
      <c r="A12" s="123"/>
      <c r="B12" s="122" t="s">
        <v>433</v>
      </c>
      <c r="C12" s="170"/>
      <c r="F12" s="130">
        <v>327.75274309726001</v>
      </c>
      <c r="G12" s="130">
        <v>287.20787529251999</v>
      </c>
      <c r="H12" s="130">
        <v>292.46056542946002</v>
      </c>
      <c r="I12" s="130">
        <v>348.80662177957998</v>
      </c>
      <c r="J12" s="130">
        <v>206.97917758912999</v>
      </c>
      <c r="K12" s="130">
        <v>173.54557586973004</v>
      </c>
      <c r="L12" s="130">
        <v>465.84587242655425</v>
      </c>
      <c r="M12" s="130">
        <v>347.39064830799992</v>
      </c>
      <c r="N12" s="130">
        <v>348.64024381547927</v>
      </c>
      <c r="O12" s="130">
        <v>575.16062886216889</v>
      </c>
      <c r="P12" s="130">
        <v>730.02271265008972</v>
      </c>
      <c r="Q12" s="130">
        <v>250.45394304655787</v>
      </c>
      <c r="R12" s="130">
        <v>282.64511580976205</v>
      </c>
      <c r="S12" s="130">
        <v>174.03145654350621</v>
      </c>
      <c r="T12" s="130">
        <v>981.31330152235023</v>
      </c>
      <c r="U12" s="130">
        <v>741.54425788450305</v>
      </c>
      <c r="V12" s="130">
        <v>1547.9016872506268</v>
      </c>
      <c r="W12" s="130">
        <v>1843.5024874722233</v>
      </c>
      <c r="X12" s="130">
        <v>1854.1084701746133</v>
      </c>
      <c r="Y12" s="130">
        <v>1806.4996237432697</v>
      </c>
      <c r="AA12" s="104">
        <v>0.5</v>
      </c>
      <c r="AB12" s="104" t="s">
        <v>432</v>
      </c>
      <c r="AE12" s="107">
        <f>AE10/AE9-1</f>
        <v>0.18449707642213897</v>
      </c>
      <c r="AF12" s="185"/>
    </row>
    <row r="13" spans="1:32">
      <c r="A13" s="123"/>
      <c r="B13" s="122" t="s">
        <v>431</v>
      </c>
      <c r="C13" s="167"/>
      <c r="F13" s="130">
        <v>6461.3698842092026</v>
      </c>
      <c r="G13" s="130">
        <v>6142.0881000762465</v>
      </c>
      <c r="H13" s="130">
        <v>5515.7276131643839</v>
      </c>
      <c r="I13" s="130">
        <v>5948.5398555426946</v>
      </c>
      <c r="J13" s="130">
        <v>6143.2317061827644</v>
      </c>
      <c r="K13" s="130">
        <v>6957.8638917051894</v>
      </c>
      <c r="L13" s="130">
        <v>7505.1602000350813</v>
      </c>
      <c r="M13" s="130">
        <v>7101.8926721204371</v>
      </c>
      <c r="N13" s="130">
        <v>6629.8312604056946</v>
      </c>
      <c r="O13" s="130">
        <v>7025.624371011726</v>
      </c>
      <c r="P13" s="130">
        <v>7704.9546589644979</v>
      </c>
      <c r="Q13" s="130">
        <v>8344.2018509511418</v>
      </c>
      <c r="R13" s="130">
        <v>7231.6288036133737</v>
      </c>
      <c r="S13" s="130">
        <v>7449.8816276187217</v>
      </c>
      <c r="T13" s="130">
        <v>6994.1028389321618</v>
      </c>
      <c r="U13" s="130">
        <v>6437.1281333060779</v>
      </c>
      <c r="V13" s="130">
        <v>5625.6324658466756</v>
      </c>
      <c r="W13" s="130">
        <v>7551.6735668212523</v>
      </c>
      <c r="X13" s="130">
        <v>6741.1057006533865</v>
      </c>
      <c r="Y13" s="130">
        <v>6241.2117983779081</v>
      </c>
    </row>
    <row r="14" spans="1:32">
      <c r="A14" s="123"/>
      <c r="B14" s="122" t="s">
        <v>430</v>
      </c>
      <c r="C14" s="184"/>
      <c r="F14" s="130">
        <v>305.80013959000001</v>
      </c>
      <c r="G14" s="130">
        <v>269.25286351599993</v>
      </c>
      <c r="H14" s="130">
        <v>319.85095743826997</v>
      </c>
      <c r="I14" s="130">
        <v>342.61983917345998</v>
      </c>
      <c r="J14" s="130">
        <v>284.81354930800001</v>
      </c>
      <c r="K14" s="130">
        <v>199.91101331226997</v>
      </c>
      <c r="L14" s="130">
        <v>208.01697268327001</v>
      </c>
      <c r="M14" s="130">
        <v>126.58321640599999</v>
      </c>
      <c r="N14" s="130">
        <v>100.76770471999998</v>
      </c>
      <c r="O14" s="130">
        <v>86.129427581999991</v>
      </c>
      <c r="P14" s="130">
        <v>75.896639547000007</v>
      </c>
      <c r="Q14" s="130">
        <v>70.704971759000003</v>
      </c>
      <c r="R14" s="130">
        <v>73.86149278500001</v>
      </c>
      <c r="S14" s="130">
        <v>82.000347713000011</v>
      </c>
      <c r="T14" s="130">
        <v>100.94974446172999</v>
      </c>
      <c r="U14" s="130">
        <v>107.42053099999998</v>
      </c>
      <c r="V14" s="130">
        <v>111.0718906</v>
      </c>
      <c r="W14" s="130">
        <v>117.40865439999999</v>
      </c>
      <c r="X14" s="130">
        <v>100.48048189999999</v>
      </c>
      <c r="Y14" s="130">
        <v>59.394444999999997</v>
      </c>
    </row>
    <row r="15" spans="1:32">
      <c r="A15" s="123"/>
      <c r="B15" s="122" t="s">
        <v>429</v>
      </c>
      <c r="C15" s="122"/>
      <c r="F15" s="130">
        <v>2837.7424645721494</v>
      </c>
      <c r="G15" s="130">
        <v>3097.8256562354391</v>
      </c>
      <c r="H15" s="130">
        <v>3206.1550646450005</v>
      </c>
      <c r="I15" s="130">
        <v>3594.1399991542298</v>
      </c>
      <c r="J15" s="130">
        <v>3321.7358683828706</v>
      </c>
      <c r="K15" s="130">
        <v>3398.0858121905399</v>
      </c>
      <c r="L15" s="130">
        <v>3439.0073194026195</v>
      </c>
      <c r="M15" s="130">
        <v>3319.1882575905702</v>
      </c>
      <c r="N15" s="130">
        <v>2908.1841414934902</v>
      </c>
      <c r="O15" s="130">
        <v>2994.01619110927</v>
      </c>
      <c r="P15" s="130">
        <v>3423.7425900654703</v>
      </c>
      <c r="Q15" s="130">
        <v>3474.8694101208898</v>
      </c>
      <c r="R15" s="130">
        <v>4166.2247517062997</v>
      </c>
      <c r="S15" s="130">
        <v>3456.8375671229792</v>
      </c>
      <c r="T15" s="130">
        <v>3521.7644395713301</v>
      </c>
      <c r="U15" s="130">
        <v>3399.4798562000001</v>
      </c>
      <c r="V15" s="130">
        <v>3362.1271660000002</v>
      </c>
      <c r="W15" s="130">
        <v>3325.8335580999992</v>
      </c>
      <c r="X15" s="130">
        <v>3374.4934635999998</v>
      </c>
      <c r="Y15" s="130">
        <v>3035.9165613999999</v>
      </c>
      <c r="AE15" s="104">
        <v>2005</v>
      </c>
      <c r="AF15" s="104">
        <v>2009</v>
      </c>
    </row>
    <row r="16" spans="1:32">
      <c r="A16" s="123"/>
      <c r="B16" s="122" t="s">
        <v>428</v>
      </c>
      <c r="C16" s="122"/>
      <c r="F16" s="130">
        <v>4328.6745705990688</v>
      </c>
      <c r="G16" s="130">
        <v>4205.1068905083466</v>
      </c>
      <c r="H16" s="130">
        <v>4122.9498333301663</v>
      </c>
      <c r="I16" s="130">
        <v>4619.273356671556</v>
      </c>
      <c r="J16" s="130">
        <v>4411.0655906156408</v>
      </c>
      <c r="K16" s="130">
        <v>4438.6338010640193</v>
      </c>
      <c r="L16" s="130">
        <v>4966.3317359781186</v>
      </c>
      <c r="M16" s="130">
        <v>4570.1510536195592</v>
      </c>
      <c r="N16" s="130">
        <v>4504.2715630560006</v>
      </c>
      <c r="O16" s="130">
        <v>4813.0303441173819</v>
      </c>
      <c r="P16" s="130">
        <v>4669.6790267404804</v>
      </c>
      <c r="Q16" s="130">
        <v>4582.4493559169896</v>
      </c>
      <c r="R16" s="130">
        <v>4404.0578138524506</v>
      </c>
      <c r="S16" s="130">
        <v>4182.55080140273</v>
      </c>
      <c r="T16" s="130">
        <v>4100.3351903641196</v>
      </c>
      <c r="U16" s="130">
        <v>4422.1571593300005</v>
      </c>
      <c r="V16" s="130">
        <v>4513.1547279100005</v>
      </c>
      <c r="W16" s="130">
        <v>4468.5740524000012</v>
      </c>
      <c r="X16" s="130">
        <v>4469.8073507999998</v>
      </c>
      <c r="Y16" s="130">
        <v>4458.7103916500009</v>
      </c>
      <c r="AD16" s="183" t="s">
        <v>427</v>
      </c>
      <c r="AE16" s="107">
        <f>U37/AE9</f>
        <v>0.41626674076645104</v>
      </c>
      <c r="AF16" s="107">
        <f>Y37/AE10</f>
        <v>0.4149914505041945</v>
      </c>
    </row>
    <row r="17" spans="1:32">
      <c r="A17" s="123"/>
      <c r="B17" s="122" t="s">
        <v>426</v>
      </c>
      <c r="C17" s="122"/>
      <c r="F17" s="130">
        <v>321.06718139929001</v>
      </c>
      <c r="G17" s="130">
        <v>372.52998588371003</v>
      </c>
      <c r="H17" s="130">
        <v>370.10694027289998</v>
      </c>
      <c r="I17" s="130">
        <v>372.24849733599996</v>
      </c>
      <c r="J17" s="130">
        <v>201.08504762799998</v>
      </c>
      <c r="K17" s="130">
        <v>152.19969378399998</v>
      </c>
      <c r="L17" s="130">
        <v>186.94307469600002</v>
      </c>
      <c r="M17" s="130">
        <v>268.04120726399998</v>
      </c>
      <c r="N17" s="130">
        <v>251.17910170052005</v>
      </c>
      <c r="O17" s="130">
        <v>260.67735144706904</v>
      </c>
      <c r="P17" s="130">
        <v>315.62542775191855</v>
      </c>
      <c r="Q17" s="130">
        <v>356.42303131522107</v>
      </c>
      <c r="R17" s="130">
        <v>124.19069984269552</v>
      </c>
      <c r="S17" s="130">
        <v>80.676061086880281</v>
      </c>
      <c r="T17" s="130">
        <v>67.942818070056276</v>
      </c>
      <c r="U17" s="130">
        <v>66.488305400000002</v>
      </c>
      <c r="V17" s="130">
        <v>66.221876299999991</v>
      </c>
      <c r="W17" s="130">
        <v>64.094292599999989</v>
      </c>
      <c r="X17" s="130">
        <v>56.400031299999995</v>
      </c>
      <c r="Y17" s="130">
        <v>43.4548202</v>
      </c>
      <c r="AD17" s="183" t="s">
        <v>425</v>
      </c>
      <c r="AE17" s="107">
        <f>1-AE16</f>
        <v>0.58373325923354891</v>
      </c>
      <c r="AF17" s="107">
        <f>1-AF16</f>
        <v>0.5850085494958055</v>
      </c>
    </row>
    <row r="18" spans="1:32">
      <c r="A18" s="143" t="s">
        <v>386</v>
      </c>
      <c r="B18" s="142" t="s">
        <v>424</v>
      </c>
      <c r="C18" s="142"/>
      <c r="F18" s="172">
        <v>18609.231601190077</v>
      </c>
      <c r="G18" s="172">
        <v>18965.768776106717</v>
      </c>
      <c r="H18" s="172">
        <v>19228.605701075459</v>
      </c>
      <c r="I18" s="172">
        <v>19764.277629153497</v>
      </c>
      <c r="J18" s="172">
        <v>20929.310873099766</v>
      </c>
      <c r="K18" s="172">
        <v>22046.621202253875</v>
      </c>
      <c r="L18" s="172">
        <v>22673.496107520481</v>
      </c>
      <c r="M18" s="172">
        <v>23361.741190196772</v>
      </c>
      <c r="N18" s="172">
        <v>23802.532945055646</v>
      </c>
      <c r="O18" s="172">
        <v>23766.543764693495</v>
      </c>
      <c r="P18" s="172">
        <v>23915.567465549517</v>
      </c>
      <c r="Q18" s="172">
        <v>23897.913679947822</v>
      </c>
      <c r="R18" s="172">
        <v>23771.241346379804</v>
      </c>
      <c r="S18" s="172">
        <v>25154.317647216216</v>
      </c>
      <c r="T18" s="172">
        <v>26154.586902337982</v>
      </c>
      <c r="U18" s="172">
        <v>25169.776553764976</v>
      </c>
      <c r="V18" s="172">
        <v>24446.016007242109</v>
      </c>
      <c r="W18" s="172">
        <v>25051.470630806762</v>
      </c>
      <c r="X18" s="172">
        <v>25578.654305330405</v>
      </c>
      <c r="Y18" s="172">
        <v>24586.639626578133</v>
      </c>
    </row>
    <row r="19" spans="1:32">
      <c r="A19" s="123"/>
      <c r="B19" s="122" t="s">
        <v>423</v>
      </c>
      <c r="C19" s="167"/>
      <c r="F19" s="130">
        <v>1284.3389686568235</v>
      </c>
      <c r="G19" s="130">
        <v>1174.8535493805693</v>
      </c>
      <c r="H19" s="130">
        <v>1160.3695048860682</v>
      </c>
      <c r="I19" s="130">
        <v>1113.9529517057938</v>
      </c>
      <c r="J19" s="130">
        <v>1175.7151740487404</v>
      </c>
      <c r="K19" s="130">
        <v>1260.2503708497907</v>
      </c>
      <c r="L19" s="130">
        <v>1406.6103922378486</v>
      </c>
      <c r="M19" s="130">
        <v>1438.94816082741</v>
      </c>
      <c r="N19" s="130">
        <v>1509.8423457427295</v>
      </c>
      <c r="O19" s="130">
        <v>1556.9430488331834</v>
      </c>
      <c r="P19" s="130">
        <v>1489.682780570573</v>
      </c>
      <c r="Q19" s="130">
        <v>1340.7615585051608</v>
      </c>
      <c r="R19" s="130">
        <v>1390.7292096867252</v>
      </c>
      <c r="S19" s="130">
        <v>1385.0389687114821</v>
      </c>
      <c r="T19" s="130">
        <v>1509.4953534330014</v>
      </c>
      <c r="U19" s="130">
        <v>1516.2425844022509</v>
      </c>
      <c r="V19" s="130">
        <v>1479.2442024594084</v>
      </c>
      <c r="W19" s="130">
        <v>1450.1809997534144</v>
      </c>
      <c r="X19" s="130">
        <v>1421.237558131714</v>
      </c>
      <c r="Y19" s="130">
        <v>1342.3105302105992</v>
      </c>
    </row>
    <row r="20" spans="1:32">
      <c r="A20" s="123"/>
      <c r="B20" s="122" t="s">
        <v>422</v>
      </c>
      <c r="C20" s="167"/>
      <c r="F20" s="130">
        <v>11406.707712395986</v>
      </c>
      <c r="G20" s="130">
        <v>11467.532763915966</v>
      </c>
      <c r="H20" s="130">
        <v>11528.848159655043</v>
      </c>
      <c r="I20" s="130">
        <v>12146.700273999939</v>
      </c>
      <c r="J20" s="130">
        <v>12934.550726377789</v>
      </c>
      <c r="K20" s="130">
        <v>13152.759752262285</v>
      </c>
      <c r="L20" s="130">
        <v>13201.388070935787</v>
      </c>
      <c r="M20" s="130">
        <v>13691.811313763437</v>
      </c>
      <c r="N20" s="130">
        <v>14391.259454216713</v>
      </c>
      <c r="O20" s="130">
        <v>14438.895535882875</v>
      </c>
      <c r="P20" s="130">
        <v>14754.353142536138</v>
      </c>
      <c r="Q20" s="130">
        <v>14605.040696433913</v>
      </c>
      <c r="R20" s="130">
        <v>14714.582428347569</v>
      </c>
      <c r="S20" s="130">
        <v>14997.49895161307</v>
      </c>
      <c r="T20" s="130">
        <v>15678.878897270983</v>
      </c>
      <c r="U20" s="130">
        <v>15462.198112262929</v>
      </c>
      <c r="V20" s="130">
        <v>15353.905611661827</v>
      </c>
      <c r="W20" s="130">
        <v>15621.825158131516</v>
      </c>
      <c r="X20" s="130">
        <v>15416.637010139451</v>
      </c>
      <c r="Y20" s="130">
        <v>15479.522322113033</v>
      </c>
    </row>
    <row r="21" spans="1:32">
      <c r="A21" s="123"/>
      <c r="B21" s="122"/>
      <c r="C21" s="169" t="s">
        <v>421</v>
      </c>
      <c r="F21" s="168">
        <v>3735.1391344933222</v>
      </c>
      <c r="G21" s="168">
        <v>3854.143572695149</v>
      </c>
      <c r="H21" s="168">
        <v>3970.5019323778615</v>
      </c>
      <c r="I21" s="168">
        <v>4144.9523525667682</v>
      </c>
      <c r="J21" s="168">
        <v>4224.6808487375274</v>
      </c>
      <c r="K21" s="168">
        <v>4331.1552496322156</v>
      </c>
      <c r="L21" s="168">
        <v>4344.5135860192886</v>
      </c>
      <c r="M21" s="168">
        <v>4406.0078684005257</v>
      </c>
      <c r="N21" s="168">
        <v>4365.4258323672593</v>
      </c>
      <c r="O21" s="168">
        <v>4459.564769707612</v>
      </c>
      <c r="P21" s="168">
        <v>4397.096053625236</v>
      </c>
      <c r="Q21" s="168">
        <v>4303.1297383681331</v>
      </c>
      <c r="R21" s="168">
        <v>4293.6670539444476</v>
      </c>
      <c r="S21" s="168">
        <v>4280.0727467116185</v>
      </c>
      <c r="T21" s="168">
        <v>4372.5893493041558</v>
      </c>
      <c r="U21" s="168">
        <v>4187.1950774069146</v>
      </c>
      <c r="V21" s="168">
        <v>4096.7488102252473</v>
      </c>
      <c r="W21" s="168">
        <v>4112.2330701355186</v>
      </c>
      <c r="X21" s="168">
        <v>4031.5445849601533</v>
      </c>
      <c r="Y21" s="168">
        <v>4189.789437704464</v>
      </c>
    </row>
    <row r="22" spans="1:32">
      <c r="A22" s="123"/>
      <c r="B22" s="167"/>
      <c r="C22" s="169" t="s">
        <v>420</v>
      </c>
      <c r="F22" s="168">
        <v>2134.0544855446301</v>
      </c>
      <c r="G22" s="168">
        <v>2330.4151196895759</v>
      </c>
      <c r="H22" s="168">
        <v>2546.2000221977842</v>
      </c>
      <c r="I22" s="168">
        <v>2846.5443812392523</v>
      </c>
      <c r="J22" s="168">
        <v>3105.7674791509135</v>
      </c>
      <c r="K22" s="168">
        <v>3330.2941833255841</v>
      </c>
      <c r="L22" s="168">
        <v>3530.1373275652841</v>
      </c>
      <c r="M22" s="168">
        <v>3834.4355470494502</v>
      </c>
      <c r="N22" s="168">
        <v>4154.2267576632812</v>
      </c>
      <c r="O22" s="168">
        <v>4389.8495464556327</v>
      </c>
      <c r="P22" s="168">
        <v>4469.6672503174386</v>
      </c>
      <c r="Q22" s="168">
        <v>4554.2330157893457</v>
      </c>
      <c r="R22" s="168">
        <v>4631.6397578734232</v>
      </c>
      <c r="S22" s="168">
        <v>4694.9699404253806</v>
      </c>
      <c r="T22" s="168">
        <v>4903.0469003057442</v>
      </c>
      <c r="U22" s="168">
        <v>4764.7071023986391</v>
      </c>
      <c r="V22" s="168">
        <v>4666.508079141654</v>
      </c>
      <c r="W22" s="168">
        <v>4695.5078209747635</v>
      </c>
      <c r="X22" s="168">
        <v>4612.9121993733816</v>
      </c>
      <c r="Y22" s="168">
        <v>4669.2654687964823</v>
      </c>
    </row>
    <row r="23" spans="1:32">
      <c r="A23" s="123"/>
      <c r="B23" s="167"/>
      <c r="C23" s="169" t="s">
        <v>419</v>
      </c>
      <c r="F23" s="168">
        <v>2223.6965621900408</v>
      </c>
      <c r="G23" s="168">
        <v>2085.6893345423523</v>
      </c>
      <c r="H23" s="168">
        <v>2017.4099442943916</v>
      </c>
      <c r="I23" s="168">
        <v>2067.8602459515673</v>
      </c>
      <c r="J23" s="168">
        <v>2131.9380318221297</v>
      </c>
      <c r="K23" s="168">
        <v>1985.2598943543774</v>
      </c>
      <c r="L23" s="168">
        <v>1896.3718972919933</v>
      </c>
      <c r="M23" s="168">
        <v>1910.7718600676462</v>
      </c>
      <c r="N23" s="168">
        <v>1961.0005388452589</v>
      </c>
      <c r="O23" s="168">
        <v>1804.7577321774538</v>
      </c>
      <c r="P23" s="168">
        <v>1822.1842014176273</v>
      </c>
      <c r="Q23" s="168">
        <v>1715.7058848926663</v>
      </c>
      <c r="R23" s="168">
        <v>1656.7503259420466</v>
      </c>
      <c r="S23" s="168">
        <v>1779.7014206368397</v>
      </c>
      <c r="T23" s="168">
        <v>1840.171757604739</v>
      </c>
      <c r="U23" s="168">
        <v>1785.6397866318209</v>
      </c>
      <c r="V23" s="168">
        <v>1766.1254865960316</v>
      </c>
      <c r="W23" s="168">
        <v>1795.205974252807</v>
      </c>
      <c r="X23" s="168">
        <v>1781.460560878973</v>
      </c>
      <c r="Y23" s="168">
        <v>1887.7894481760638</v>
      </c>
    </row>
    <row r="24" spans="1:32">
      <c r="A24" s="123"/>
      <c r="B24" s="167"/>
      <c r="C24" s="169" t="s">
        <v>418</v>
      </c>
      <c r="F24" s="182">
        <v>19.06396853822309</v>
      </c>
      <c r="G24" s="182">
        <v>18.181041386251604</v>
      </c>
      <c r="H24" s="182">
        <v>17.171557976755981</v>
      </c>
      <c r="I24" s="182">
        <v>16.507836384778713</v>
      </c>
      <c r="J24" s="182">
        <v>15.273471147023498</v>
      </c>
      <c r="K24" s="182">
        <v>14.247695652314574</v>
      </c>
      <c r="L24" s="182">
        <v>12.988883972687653</v>
      </c>
      <c r="M24" s="182">
        <v>13.199182556518007</v>
      </c>
      <c r="N24" s="182">
        <v>16.295596539456714</v>
      </c>
      <c r="O24" s="182">
        <v>15.35057704686638</v>
      </c>
      <c r="P24" s="182">
        <v>17.578294627264267</v>
      </c>
      <c r="Q24" s="182">
        <v>19.501789644695133</v>
      </c>
      <c r="R24" s="182">
        <v>21.386263091282924</v>
      </c>
      <c r="S24" s="182">
        <v>23.360230059222808</v>
      </c>
      <c r="T24" s="182">
        <v>27.434243675928833</v>
      </c>
      <c r="U24" s="182">
        <v>28.859299254409187</v>
      </c>
      <c r="V24" s="182">
        <v>28.590350840244639</v>
      </c>
      <c r="W24" s="182">
        <v>29.04058816669227</v>
      </c>
      <c r="X24" s="182">
        <v>28.808635277775998</v>
      </c>
      <c r="Y24" s="182">
        <v>25.874167009105982</v>
      </c>
    </row>
    <row r="25" spans="1:32">
      <c r="A25" s="123"/>
      <c r="B25" s="167"/>
      <c r="C25" s="169" t="s">
        <v>417</v>
      </c>
      <c r="F25" s="182">
        <v>34.375118450890191</v>
      </c>
      <c r="G25" s="182">
        <v>35.188043292257483</v>
      </c>
      <c r="H25" s="182">
        <v>35.618061788920421</v>
      </c>
      <c r="I25" s="182">
        <v>37.935859119106325</v>
      </c>
      <c r="J25" s="182">
        <v>37.757132580216179</v>
      </c>
      <c r="K25" s="182">
        <v>38.618789963001845</v>
      </c>
      <c r="L25" s="182">
        <v>40.18272622388622</v>
      </c>
      <c r="M25" s="182">
        <v>42.121141532208718</v>
      </c>
      <c r="N25" s="182">
        <v>46.958054367482681</v>
      </c>
      <c r="O25" s="182">
        <v>49.657857243587223</v>
      </c>
      <c r="P25" s="182">
        <v>51.057201590729235</v>
      </c>
      <c r="Q25" s="182">
        <v>51.276887671961646</v>
      </c>
      <c r="R25" s="182">
        <v>54.003917753503679</v>
      </c>
      <c r="S25" s="182">
        <v>53.379754826249602</v>
      </c>
      <c r="T25" s="182">
        <v>59.396557651288354</v>
      </c>
      <c r="U25" s="182">
        <v>63.424439761463688</v>
      </c>
      <c r="V25" s="182">
        <v>62.623286239876812</v>
      </c>
      <c r="W25" s="182">
        <v>66.379599596545077</v>
      </c>
      <c r="X25" s="182">
        <v>70.707448777169446</v>
      </c>
      <c r="Y25" s="182">
        <v>68.69505630213834</v>
      </c>
    </row>
    <row r="26" spans="1:32">
      <c r="A26" s="123"/>
      <c r="B26" s="167"/>
      <c r="C26" s="169" t="s">
        <v>416</v>
      </c>
      <c r="F26" s="168">
        <v>40.143031909984742</v>
      </c>
      <c r="G26" s="168">
        <v>45.981902982279195</v>
      </c>
      <c r="H26" s="168">
        <v>47.798089190781624</v>
      </c>
      <c r="I26" s="168">
        <v>51.479665579412085</v>
      </c>
      <c r="J26" s="168">
        <v>62.388647769050003</v>
      </c>
      <c r="K26" s="168">
        <v>72.683901291850177</v>
      </c>
      <c r="L26" s="168">
        <v>75.20127434839884</v>
      </c>
      <c r="M26" s="168">
        <v>74.234734403658393</v>
      </c>
      <c r="N26" s="168">
        <v>80.656063551834507</v>
      </c>
      <c r="O26" s="168">
        <v>80.529161190631072</v>
      </c>
      <c r="P26" s="168">
        <v>72.353993147148884</v>
      </c>
      <c r="Q26" s="168">
        <v>59.773366949187995</v>
      </c>
      <c r="R26" s="168">
        <v>51.183563707175438</v>
      </c>
      <c r="S26" s="168">
        <v>57.781312830946433</v>
      </c>
      <c r="T26" s="168">
        <v>59.340584372884237</v>
      </c>
      <c r="U26" s="168">
        <v>58.505193317492683</v>
      </c>
      <c r="V26" s="168">
        <v>58.335478623981103</v>
      </c>
      <c r="W26" s="168">
        <v>59.487536917465</v>
      </c>
      <c r="X26" s="168">
        <v>59.780859113653591</v>
      </c>
      <c r="Y26" s="168">
        <v>63.111526492049862</v>
      </c>
    </row>
    <row r="27" spans="1:32">
      <c r="A27" s="123"/>
      <c r="B27" s="167"/>
      <c r="C27" s="169" t="s">
        <v>415</v>
      </c>
      <c r="F27" s="168">
        <v>2438.2360952188924</v>
      </c>
      <c r="G27" s="168">
        <v>2329.9472032498243</v>
      </c>
      <c r="H27" s="168">
        <v>2313.9823106785479</v>
      </c>
      <c r="I27" s="168">
        <v>2493.065804309053</v>
      </c>
      <c r="J27" s="168">
        <v>2736.371427527477</v>
      </c>
      <c r="K27" s="168">
        <v>2810.7363005429438</v>
      </c>
      <c r="L27" s="168">
        <v>2895.63328156425</v>
      </c>
      <c r="M27" s="168">
        <v>3010.6811751817067</v>
      </c>
      <c r="N27" s="168">
        <v>3285.4035625104148</v>
      </c>
      <c r="O27" s="168">
        <v>3328.0648755143675</v>
      </c>
      <c r="P27" s="168">
        <v>3595.2087148624178</v>
      </c>
      <c r="Q27" s="168">
        <v>3582.4263671519693</v>
      </c>
      <c r="R27" s="168">
        <v>3718.7853999906874</v>
      </c>
      <c r="S27" s="168">
        <v>3847.1935787578145</v>
      </c>
      <c r="T27" s="168">
        <v>4156.7282787987451</v>
      </c>
      <c r="U27" s="168">
        <v>4380.2949299921875</v>
      </c>
      <c r="V27" s="168">
        <v>4483.7000952447897</v>
      </c>
      <c r="W27" s="168">
        <v>4637.9162275877234</v>
      </c>
      <c r="X27" s="168">
        <v>4578.8617970083469</v>
      </c>
      <c r="Y27" s="168">
        <v>4374.3769406327274</v>
      </c>
    </row>
    <row r="28" spans="1:32">
      <c r="A28" s="123"/>
      <c r="B28" s="167"/>
      <c r="C28" s="169" t="s">
        <v>414</v>
      </c>
      <c r="F28" s="182">
        <v>781.99931604999995</v>
      </c>
      <c r="G28" s="182">
        <v>767.98654607827507</v>
      </c>
      <c r="H28" s="182">
        <v>580.16624115000002</v>
      </c>
      <c r="I28" s="182">
        <v>488.35412884999994</v>
      </c>
      <c r="J28" s="182">
        <v>620.37368764345001</v>
      </c>
      <c r="K28" s="182">
        <v>569.76373750000005</v>
      </c>
      <c r="L28" s="182">
        <v>406.35909395000004</v>
      </c>
      <c r="M28" s="182">
        <v>400.35980457172508</v>
      </c>
      <c r="N28" s="182">
        <v>481.29304837172498</v>
      </c>
      <c r="O28" s="182">
        <v>311.121016546725</v>
      </c>
      <c r="P28" s="182">
        <v>329.20743294827503</v>
      </c>
      <c r="Q28" s="182">
        <v>318.99364596595001</v>
      </c>
      <c r="R28" s="182">
        <v>287.166146045</v>
      </c>
      <c r="S28" s="182">
        <v>261.039967365</v>
      </c>
      <c r="T28" s="182">
        <v>260.17122555750001</v>
      </c>
      <c r="U28" s="182">
        <v>193.5722835</v>
      </c>
      <c r="V28" s="182">
        <v>191.27402475</v>
      </c>
      <c r="W28" s="182">
        <v>226.0543405</v>
      </c>
      <c r="X28" s="182">
        <v>252.56092474999997</v>
      </c>
      <c r="Y28" s="182">
        <v>200.62027699999996</v>
      </c>
    </row>
    <row r="29" spans="1:32">
      <c r="A29" s="123"/>
      <c r="B29" s="122" t="s">
        <v>413</v>
      </c>
      <c r="C29" s="167"/>
      <c r="F29" s="130">
        <v>1440.5442753569998</v>
      </c>
      <c r="G29" s="130">
        <v>1397.2573261359298</v>
      </c>
      <c r="H29" s="130">
        <v>1604.4132059150697</v>
      </c>
      <c r="I29" s="130">
        <v>1631.9788104930001</v>
      </c>
      <c r="J29" s="130">
        <v>1648.7046991970697</v>
      </c>
      <c r="K29" s="130">
        <v>1649.6220197549997</v>
      </c>
      <c r="L29" s="130">
        <v>1586.4602028320696</v>
      </c>
      <c r="M29" s="130">
        <v>1438.7456364939299</v>
      </c>
      <c r="N29" s="130">
        <v>1374.3927675990001</v>
      </c>
      <c r="O29" s="130">
        <v>1396.8031623789302</v>
      </c>
      <c r="P29" s="130">
        <v>1267.8597856589997</v>
      </c>
      <c r="Q29" s="130">
        <v>1045.29545299593</v>
      </c>
      <c r="R29" s="130">
        <v>849.31624250585992</v>
      </c>
      <c r="S29" s="130">
        <v>557.73432714174498</v>
      </c>
      <c r="T29" s="130">
        <v>387.95518123222314</v>
      </c>
      <c r="U29" s="130">
        <v>413.55979661543</v>
      </c>
      <c r="V29" s="130">
        <v>400.09879384752833</v>
      </c>
      <c r="W29" s="130">
        <v>402.04928942060752</v>
      </c>
      <c r="X29" s="130">
        <v>625.61550742292377</v>
      </c>
      <c r="Y29" s="130">
        <v>539.87574377465319</v>
      </c>
    </row>
    <row r="30" spans="1:32">
      <c r="A30" s="123"/>
      <c r="B30" s="122" t="s">
        <v>412</v>
      </c>
      <c r="C30" s="167"/>
      <c r="F30" s="130">
        <v>1024.7163529070701</v>
      </c>
      <c r="G30" s="130">
        <v>1125.8396694670698</v>
      </c>
      <c r="H30" s="130">
        <v>1141.9716427097449</v>
      </c>
      <c r="I30" s="130">
        <v>1138.48064216393</v>
      </c>
      <c r="J30" s="130">
        <v>1170.8727989577899</v>
      </c>
      <c r="K30" s="130">
        <v>1232.3200241228951</v>
      </c>
      <c r="L30" s="130">
        <v>1136.8088273411051</v>
      </c>
      <c r="M30" s="130">
        <v>1033.2422151703947</v>
      </c>
      <c r="N30" s="130">
        <v>1005.809255499</v>
      </c>
      <c r="O30" s="130">
        <v>1124.8159794919652</v>
      </c>
      <c r="P30" s="130">
        <v>1235.10560595071</v>
      </c>
      <c r="Q30" s="130">
        <v>1573.5222510507451</v>
      </c>
      <c r="R30" s="130">
        <v>1883.6246707381051</v>
      </c>
      <c r="S30" s="130">
        <v>3001.1223237567692</v>
      </c>
      <c r="T30" s="130">
        <v>2655.9387199752391</v>
      </c>
      <c r="U30" s="130">
        <v>2543.9271437681773</v>
      </c>
      <c r="V30" s="130">
        <v>2460.9717178552742</v>
      </c>
      <c r="W30" s="130">
        <v>2565.9877601271764</v>
      </c>
      <c r="X30" s="130">
        <v>2509.7826942029528</v>
      </c>
      <c r="Y30" s="130">
        <v>2071.2846480389285</v>
      </c>
    </row>
    <row r="31" spans="1:32">
      <c r="A31" s="123"/>
      <c r="B31" s="122" t="s">
        <v>411</v>
      </c>
      <c r="C31" s="169"/>
      <c r="F31" s="130">
        <v>3452.9242918732002</v>
      </c>
      <c r="G31" s="130">
        <v>3800.2854672071871</v>
      </c>
      <c r="H31" s="130">
        <v>3793.0031879095359</v>
      </c>
      <c r="I31" s="130">
        <v>3733.1649507908369</v>
      </c>
      <c r="J31" s="130">
        <v>3999.4674745183752</v>
      </c>
      <c r="K31" s="130">
        <v>4751.6690352638989</v>
      </c>
      <c r="L31" s="130">
        <v>5342.2286141736686</v>
      </c>
      <c r="M31" s="130">
        <v>5758.9938639416023</v>
      </c>
      <c r="N31" s="130">
        <v>5521.2291219982044</v>
      </c>
      <c r="O31" s="130">
        <v>5249.0860381065459</v>
      </c>
      <c r="P31" s="130">
        <v>5168.5661508330995</v>
      </c>
      <c r="Q31" s="130">
        <v>5333.2937209620768</v>
      </c>
      <c r="R31" s="130">
        <v>4932.988795101548</v>
      </c>
      <c r="S31" s="130">
        <v>5212.9230759931497</v>
      </c>
      <c r="T31" s="130">
        <v>5922.3187504265306</v>
      </c>
      <c r="U31" s="130">
        <v>5233.8489167161915</v>
      </c>
      <c r="V31" s="130">
        <v>4751.795681418077</v>
      </c>
      <c r="W31" s="130">
        <v>5011.4274233740525</v>
      </c>
      <c r="X31" s="130">
        <v>5605.3815354333592</v>
      </c>
      <c r="Y31" s="130">
        <v>5153.6463824409229</v>
      </c>
    </row>
    <row r="32" spans="1:32">
      <c r="A32" s="123"/>
      <c r="B32" s="122"/>
      <c r="C32" s="169" t="s">
        <v>410</v>
      </c>
      <c r="F32" s="168">
        <v>350.26999225665179</v>
      </c>
      <c r="G32" s="168">
        <v>350.58942121062449</v>
      </c>
      <c r="H32" s="168">
        <v>365.76144373735008</v>
      </c>
      <c r="I32" s="168">
        <v>366.48630219156092</v>
      </c>
      <c r="J32" s="168">
        <v>391.40609288942488</v>
      </c>
      <c r="K32" s="168">
        <v>420.54763639503301</v>
      </c>
      <c r="L32" s="168">
        <v>527.35198555659974</v>
      </c>
      <c r="M32" s="168">
        <v>689.83014126290789</v>
      </c>
      <c r="N32" s="168">
        <v>842.50371577627857</v>
      </c>
      <c r="O32" s="168">
        <v>647.87290187374299</v>
      </c>
      <c r="P32" s="168">
        <v>517.43190736892632</v>
      </c>
      <c r="Q32" s="168">
        <v>429.92142270039585</v>
      </c>
      <c r="R32" s="168">
        <v>439.45051929752532</v>
      </c>
      <c r="S32" s="168">
        <v>462.01711281673187</v>
      </c>
      <c r="T32" s="168">
        <v>733.06478281727686</v>
      </c>
      <c r="U32" s="168">
        <v>450.55190871038877</v>
      </c>
      <c r="V32" s="168">
        <v>444.89911623163391</v>
      </c>
      <c r="W32" s="168">
        <v>447.71706873154784</v>
      </c>
      <c r="X32" s="168">
        <v>351.59202858489198</v>
      </c>
      <c r="Y32" s="168">
        <v>258.04154940748384</v>
      </c>
    </row>
    <row r="33" spans="1:27">
      <c r="A33" s="123"/>
      <c r="B33" s="122"/>
      <c r="C33" s="169" t="s">
        <v>409</v>
      </c>
      <c r="F33" s="168">
        <v>2246.7735786435487</v>
      </c>
      <c r="G33" s="168">
        <v>2343.2573629545623</v>
      </c>
      <c r="H33" s="168">
        <v>2377.8405173751858</v>
      </c>
      <c r="I33" s="168">
        <v>2239.5416522002761</v>
      </c>
      <c r="J33" s="168">
        <v>2356.6069018479502</v>
      </c>
      <c r="K33" s="168">
        <v>2945.8197593808663</v>
      </c>
      <c r="L33" s="168">
        <v>3305.3891662950687</v>
      </c>
      <c r="M33" s="168">
        <v>3623.175311080694</v>
      </c>
      <c r="N33" s="168">
        <v>3101.3502294039254</v>
      </c>
      <c r="O33" s="168">
        <v>3194.4851601178025</v>
      </c>
      <c r="P33" s="168">
        <v>2996.5360398551738</v>
      </c>
      <c r="Q33" s="168">
        <v>3038.648409737681</v>
      </c>
      <c r="R33" s="168">
        <v>3133.8689569960225</v>
      </c>
      <c r="S33" s="168">
        <v>3688.665306975417</v>
      </c>
      <c r="T33" s="168">
        <v>4057.8724503372537</v>
      </c>
      <c r="U33" s="168">
        <v>3793.8586048058037</v>
      </c>
      <c r="V33" s="168">
        <v>3532.5379019864431</v>
      </c>
      <c r="W33" s="168">
        <v>3630.5870686425046</v>
      </c>
      <c r="X33" s="168">
        <v>4358.9113808484672</v>
      </c>
      <c r="Y33" s="168">
        <v>4027.4708242334391</v>
      </c>
    </row>
    <row r="34" spans="1:27">
      <c r="A34" s="123"/>
      <c r="B34" s="122"/>
      <c r="C34" s="169" t="s">
        <v>265</v>
      </c>
      <c r="D34" s="122"/>
      <c r="E34" s="122"/>
      <c r="F34" s="168">
        <v>855.88072097299994</v>
      </c>
      <c r="G34" s="168">
        <v>1106.4386830419999</v>
      </c>
      <c r="H34" s="168">
        <v>1049.4012267969999</v>
      </c>
      <c r="I34" s="168">
        <v>1127.1369963990001</v>
      </c>
      <c r="J34" s="168">
        <v>1251.4544797810001</v>
      </c>
      <c r="K34" s="168">
        <v>1385.3016394880001</v>
      </c>
      <c r="L34" s="168">
        <v>1509.4874623220001</v>
      </c>
      <c r="M34" s="168">
        <v>1445.9884115980001</v>
      </c>
      <c r="N34" s="168">
        <v>1577.3751768179998</v>
      </c>
      <c r="O34" s="168">
        <v>1406.7279761149998</v>
      </c>
      <c r="P34" s="168">
        <v>1654.5982036089999</v>
      </c>
      <c r="Q34" s="168">
        <v>1864.7238885240001</v>
      </c>
      <c r="R34" s="168">
        <v>1359.6693188080001</v>
      </c>
      <c r="S34" s="168">
        <v>1062.2406562009999</v>
      </c>
      <c r="T34" s="168">
        <v>1131.3815172719999</v>
      </c>
      <c r="U34" s="168">
        <v>989.43840320000004</v>
      </c>
      <c r="V34" s="168">
        <v>774.35866320000014</v>
      </c>
      <c r="W34" s="168">
        <v>933.12328600000001</v>
      </c>
      <c r="X34" s="168">
        <v>894.87812600000007</v>
      </c>
      <c r="Y34" s="168">
        <v>868.13400880000017</v>
      </c>
      <c r="AA34" s="104">
        <v>1</v>
      </c>
    </row>
    <row r="35" spans="1:27" s="156" customFormat="1">
      <c r="A35" s="143" t="s">
        <v>373</v>
      </c>
      <c r="B35" s="142" t="s">
        <v>408</v>
      </c>
      <c r="C35" s="181"/>
      <c r="D35" s="142"/>
      <c r="E35" s="142"/>
      <c r="F35" s="172">
        <v>3467.9544501097871</v>
      </c>
      <c r="G35" s="172">
        <v>3338.9912125099095</v>
      </c>
      <c r="H35" s="172">
        <v>3420.2273961014425</v>
      </c>
      <c r="I35" s="172">
        <v>3255.0809392002102</v>
      </c>
      <c r="J35" s="172">
        <v>4291.572720975546</v>
      </c>
      <c r="K35" s="172">
        <v>4645.1464571358847</v>
      </c>
      <c r="L35" s="172">
        <v>5143.1111876785526</v>
      </c>
      <c r="M35" s="172">
        <v>5124.1063264528202</v>
      </c>
      <c r="N35" s="172">
        <v>5228.2660583210636</v>
      </c>
      <c r="O35" s="172">
        <v>4981.7539283558863</v>
      </c>
      <c r="P35" s="172">
        <v>5154.9721052937221</v>
      </c>
      <c r="Q35" s="172">
        <v>5453.668347154492</v>
      </c>
      <c r="R35" s="172">
        <v>5141.2403487648553</v>
      </c>
      <c r="S35" s="172">
        <v>5110.1587765114718</v>
      </c>
      <c r="T35" s="172">
        <v>5084.2225213802749</v>
      </c>
      <c r="U35" s="180">
        <v>5211.2010685728819</v>
      </c>
      <c r="V35" s="180">
        <v>5312.8328984259279</v>
      </c>
      <c r="W35" s="180">
        <v>5557.5461714828598</v>
      </c>
      <c r="X35" s="180">
        <v>6234.160601727639</v>
      </c>
      <c r="Y35" s="180">
        <v>5970.0469650508212</v>
      </c>
    </row>
    <row r="36" spans="1:27">
      <c r="A36" s="123"/>
      <c r="B36" s="122" t="s">
        <v>407</v>
      </c>
      <c r="C36" s="179"/>
      <c r="D36" s="122"/>
      <c r="E36" s="122"/>
      <c r="F36" s="130">
        <v>487.23653999999993</v>
      </c>
      <c r="G36" s="130">
        <v>482.29145999999997</v>
      </c>
      <c r="H36" s="130">
        <v>355.09782000000001</v>
      </c>
      <c r="I36" s="130">
        <v>469.72763964000006</v>
      </c>
      <c r="J36" s="130">
        <v>512.06718360000002</v>
      </c>
      <c r="K36" s="130">
        <v>568.88363490000006</v>
      </c>
      <c r="L36" s="130">
        <v>630.16489451999996</v>
      </c>
      <c r="M36" s="130">
        <v>656.86011131999999</v>
      </c>
      <c r="N36" s="130">
        <v>553.25183969999989</v>
      </c>
      <c r="O36" s="130">
        <v>490.48977894000006</v>
      </c>
      <c r="P36" s="130">
        <v>478.38309162000002</v>
      </c>
      <c r="Q36" s="130">
        <v>521.96175905999996</v>
      </c>
      <c r="R36" s="130">
        <v>477.17679025741813</v>
      </c>
      <c r="S36" s="130">
        <v>431.43762184361259</v>
      </c>
      <c r="T36" s="130">
        <v>504.17419373999996</v>
      </c>
      <c r="U36" s="178">
        <v>542.5675857</v>
      </c>
      <c r="V36" s="178">
        <v>468.88830870000004</v>
      </c>
      <c r="W36" s="178">
        <v>521.17405955999993</v>
      </c>
      <c r="X36" s="178">
        <v>506.70419645999999</v>
      </c>
      <c r="Y36" s="178">
        <v>457.00611431999999</v>
      </c>
    </row>
    <row r="37" spans="1:27" ht="13.5" customHeight="1">
      <c r="A37" s="177"/>
      <c r="B37" s="149" t="s">
        <v>406</v>
      </c>
      <c r="C37" s="176"/>
      <c r="D37" s="149"/>
      <c r="E37" s="149"/>
      <c r="F37" s="175">
        <v>2980.7179101097868</v>
      </c>
      <c r="G37" s="175">
        <v>2856.69975250991</v>
      </c>
      <c r="H37" s="175">
        <v>3065.1295761014426</v>
      </c>
      <c r="I37" s="175">
        <v>2785.35329956021</v>
      </c>
      <c r="J37" s="175">
        <v>3779.5055373755463</v>
      </c>
      <c r="K37" s="175">
        <v>4076.2628222358853</v>
      </c>
      <c r="L37" s="175">
        <v>4512.9462931585513</v>
      </c>
      <c r="M37" s="175">
        <v>4467.24621513282</v>
      </c>
      <c r="N37" s="175">
        <v>4675.0142186210633</v>
      </c>
      <c r="O37" s="175">
        <v>4491.2641494158852</v>
      </c>
      <c r="P37" s="175">
        <v>4676.5890136737225</v>
      </c>
      <c r="Q37" s="175">
        <v>4931.706588094492</v>
      </c>
      <c r="R37" s="175">
        <v>4664.0635585074369</v>
      </c>
      <c r="S37" s="175">
        <v>4678.7211546678591</v>
      </c>
      <c r="T37" s="175">
        <v>4580.0483276402747</v>
      </c>
      <c r="U37" s="174">
        <v>4668.6334828728823</v>
      </c>
      <c r="V37" s="174">
        <v>4843.9445897259275</v>
      </c>
      <c r="W37" s="174">
        <v>5036.3721119228594</v>
      </c>
      <c r="X37" s="174">
        <v>5727.4564052676396</v>
      </c>
      <c r="Y37" s="174">
        <v>5513.0408507308211</v>
      </c>
      <c r="AA37" s="104">
        <v>1</v>
      </c>
    </row>
    <row r="38" spans="1:27" s="146" customFormat="1">
      <c r="A38" s="115" t="s">
        <v>405</v>
      </c>
      <c r="B38" s="115"/>
      <c r="C38" s="147"/>
      <c r="D38" s="147"/>
      <c r="E38" s="147"/>
      <c r="F38" s="173">
        <v>3215.1621617365199</v>
      </c>
      <c r="G38" s="173">
        <v>3299.6535902938117</v>
      </c>
      <c r="H38" s="173">
        <v>3160.9155011298076</v>
      </c>
      <c r="I38" s="173">
        <v>3247.5449014824849</v>
      </c>
      <c r="J38" s="173">
        <v>3394.5858350485128</v>
      </c>
      <c r="K38" s="173">
        <v>3515.3604471457434</v>
      </c>
      <c r="L38" s="173">
        <v>3623.8753510673519</v>
      </c>
      <c r="M38" s="173">
        <v>3967.7067978768</v>
      </c>
      <c r="N38" s="173">
        <v>4083.3858633849718</v>
      </c>
      <c r="O38" s="173">
        <v>4322.7010967037495</v>
      </c>
      <c r="P38" s="173">
        <v>4424.5352398958785</v>
      </c>
      <c r="Q38" s="173">
        <v>3608.6963942538782</v>
      </c>
      <c r="R38" s="173">
        <v>3549.1236073131395</v>
      </c>
      <c r="S38" s="173">
        <v>3824.9229510636105</v>
      </c>
      <c r="T38" s="173">
        <v>4076.3598916695219</v>
      </c>
      <c r="U38" s="173">
        <v>4022.7238442975463</v>
      </c>
      <c r="V38" s="173">
        <v>3643.5323433228336</v>
      </c>
      <c r="W38" s="173">
        <v>3713.2193577112957</v>
      </c>
      <c r="X38" s="173">
        <v>3827.9621780169082</v>
      </c>
      <c r="Y38" s="173">
        <v>3657.9803627096962</v>
      </c>
    </row>
    <row r="39" spans="1:27" s="156" customFormat="1">
      <c r="A39" s="143" t="s">
        <v>377</v>
      </c>
      <c r="B39" s="142" t="s">
        <v>404</v>
      </c>
      <c r="C39" s="142"/>
      <c r="D39" s="142"/>
      <c r="E39" s="142"/>
      <c r="F39" s="172">
        <v>870.61771798363418</v>
      </c>
      <c r="G39" s="172">
        <v>769.00172738232732</v>
      </c>
      <c r="H39" s="172">
        <v>843.00643247142375</v>
      </c>
      <c r="I39" s="172">
        <v>864.89778454950783</v>
      </c>
      <c r="J39" s="172">
        <v>965.21634216930966</v>
      </c>
      <c r="K39" s="172">
        <v>1021.706733142785</v>
      </c>
      <c r="L39" s="172">
        <v>982.49541408435357</v>
      </c>
      <c r="M39" s="172">
        <v>1136.0644828112154</v>
      </c>
      <c r="N39" s="172">
        <v>1121.8007176328133</v>
      </c>
      <c r="O39" s="172">
        <v>1323.2370725643646</v>
      </c>
      <c r="P39" s="172">
        <v>1346.4680268566967</v>
      </c>
      <c r="Q39" s="172">
        <v>1271.9862241738974</v>
      </c>
      <c r="R39" s="172">
        <v>1308.5256360441776</v>
      </c>
      <c r="S39" s="172">
        <v>1287.1942913590169</v>
      </c>
      <c r="T39" s="172">
        <v>1407.2677973049706</v>
      </c>
      <c r="U39" s="172">
        <v>1413.0597736439067</v>
      </c>
      <c r="V39" s="172">
        <v>1378.9404175407051</v>
      </c>
      <c r="W39" s="172">
        <v>1389.922331685337</v>
      </c>
      <c r="X39" s="172">
        <v>1264.3496168473253</v>
      </c>
      <c r="Y39" s="172">
        <v>1001.0311292320862</v>
      </c>
    </row>
    <row r="40" spans="1:27">
      <c r="A40" s="123"/>
      <c r="B40" s="171"/>
      <c r="C40" s="169" t="s">
        <v>403</v>
      </c>
      <c r="D40" s="170"/>
      <c r="E40" s="122"/>
      <c r="F40" s="168">
        <v>612.78369707883701</v>
      </c>
      <c r="G40" s="168">
        <v>508.16793376344089</v>
      </c>
      <c r="H40" s="168">
        <v>574.96981562273788</v>
      </c>
      <c r="I40" s="168">
        <v>594.81138104074898</v>
      </c>
      <c r="J40" s="168">
        <v>685.66217122388059</v>
      </c>
      <c r="K40" s="168">
        <v>757.75402742553183</v>
      </c>
      <c r="L40" s="168">
        <v>725.65349213955449</v>
      </c>
      <c r="M40" s="168">
        <v>861.45940058341739</v>
      </c>
      <c r="N40" s="168">
        <v>865.58952592728008</v>
      </c>
      <c r="O40" s="168">
        <v>1058.7085817099262</v>
      </c>
      <c r="P40" s="168">
        <v>1053.5225491992801</v>
      </c>
      <c r="Q40" s="168">
        <v>1019.3677180559619</v>
      </c>
      <c r="R40" s="168">
        <v>1064.5242134403118</v>
      </c>
      <c r="S40" s="168">
        <v>1071.6713224406494</v>
      </c>
      <c r="T40" s="168">
        <v>1175.125357343258</v>
      </c>
      <c r="U40" s="168">
        <v>1188.9741379290942</v>
      </c>
      <c r="V40" s="168">
        <v>1152.376479832875</v>
      </c>
      <c r="W40" s="168">
        <v>1185.6341949119617</v>
      </c>
      <c r="X40" s="168">
        <v>1068.5159669138206</v>
      </c>
      <c r="Y40" s="168">
        <v>829.0137698296395</v>
      </c>
    </row>
    <row r="41" spans="1:27">
      <c r="A41" s="123"/>
      <c r="B41" s="171"/>
      <c r="C41" s="169" t="s">
        <v>402</v>
      </c>
      <c r="D41" s="170"/>
      <c r="E41" s="122"/>
      <c r="F41" s="168">
        <v>161.5997500129597</v>
      </c>
      <c r="G41" s="168">
        <v>163.87166819088165</v>
      </c>
      <c r="H41" s="168">
        <v>166.19899880708675</v>
      </c>
      <c r="I41" s="168">
        <v>180.72480113168521</v>
      </c>
      <c r="J41" s="168">
        <v>186.02449909772838</v>
      </c>
      <c r="K41" s="168">
        <v>192.09770229446968</v>
      </c>
      <c r="L41" s="168">
        <v>186.17570323863004</v>
      </c>
      <c r="M41" s="168">
        <v>194.73240377229169</v>
      </c>
      <c r="N41" s="168">
        <v>194.74919471160283</v>
      </c>
      <c r="O41" s="168">
        <v>203.99704130453136</v>
      </c>
      <c r="P41" s="168">
        <v>217.76015781424005</v>
      </c>
      <c r="Q41" s="168">
        <v>194.24773028787638</v>
      </c>
      <c r="R41" s="168">
        <v>200.64123698502317</v>
      </c>
      <c r="S41" s="168">
        <v>177.11873138467541</v>
      </c>
      <c r="T41" s="168">
        <v>190.74346334016238</v>
      </c>
      <c r="U41" s="168">
        <v>181.02194878266511</v>
      </c>
      <c r="V41" s="168">
        <v>166.04579210395917</v>
      </c>
      <c r="W41" s="168">
        <v>161.64406463076315</v>
      </c>
      <c r="X41" s="168">
        <v>156.80695239611683</v>
      </c>
      <c r="Y41" s="168">
        <v>140.64455764832201</v>
      </c>
    </row>
    <row r="42" spans="1:27">
      <c r="A42" s="123"/>
      <c r="B42" s="171"/>
      <c r="C42" s="169" t="s">
        <v>401</v>
      </c>
      <c r="D42" s="170"/>
      <c r="E42" s="122"/>
      <c r="F42" s="168">
        <v>96.23427089183744</v>
      </c>
      <c r="G42" s="168">
        <v>96.962125428004782</v>
      </c>
      <c r="H42" s="168">
        <v>101.83761804159914</v>
      </c>
      <c r="I42" s="168">
        <v>89.361602377073609</v>
      </c>
      <c r="J42" s="168">
        <v>93.529671847700641</v>
      </c>
      <c r="K42" s="168">
        <v>71.855003422783511</v>
      </c>
      <c r="L42" s="168">
        <v>70.66621870616909</v>
      </c>
      <c r="M42" s="168">
        <v>79.872678455506204</v>
      </c>
      <c r="N42" s="168">
        <v>61.461996993930399</v>
      </c>
      <c r="O42" s="168">
        <v>60.531449549906881</v>
      </c>
      <c r="P42" s="168">
        <v>75.185319843176529</v>
      </c>
      <c r="Q42" s="168">
        <v>58.370775830059102</v>
      </c>
      <c r="R42" s="168">
        <v>43.360185618842642</v>
      </c>
      <c r="S42" s="168">
        <v>38.40423753369226</v>
      </c>
      <c r="T42" s="168">
        <v>41.398976621550261</v>
      </c>
      <c r="U42" s="168">
        <v>43.063686932147249</v>
      </c>
      <c r="V42" s="168">
        <v>60.518145603870991</v>
      </c>
      <c r="W42" s="168">
        <v>42.644072142612259</v>
      </c>
      <c r="X42" s="168">
        <v>39.02669753738752</v>
      </c>
      <c r="Y42" s="168">
        <v>31.372801754124751</v>
      </c>
    </row>
    <row r="43" spans="1:27" s="156" customFormat="1">
      <c r="A43" s="143" t="s">
        <v>386</v>
      </c>
      <c r="B43" s="142" t="s">
        <v>400</v>
      </c>
      <c r="C43" s="142"/>
      <c r="F43" s="165">
        <v>0.44669690224807623</v>
      </c>
      <c r="G43" s="165">
        <v>0.4344515193576054</v>
      </c>
      <c r="H43" s="165">
        <v>0.4350564752060877</v>
      </c>
      <c r="I43" s="165">
        <v>0.57174438052659893</v>
      </c>
      <c r="J43" s="165">
        <v>0.69771698847595709</v>
      </c>
      <c r="K43" s="165">
        <v>0.62918980209974695</v>
      </c>
      <c r="L43" s="165">
        <v>0.53748266639955089</v>
      </c>
      <c r="M43" s="165">
        <v>0.46885211636991625</v>
      </c>
      <c r="N43" s="165">
        <v>0.37878926613827252</v>
      </c>
      <c r="O43" s="165">
        <v>0.29587375617773609</v>
      </c>
      <c r="P43" s="165">
        <v>0.28585457139486448</v>
      </c>
      <c r="Q43" s="165">
        <v>0.1266061798288852</v>
      </c>
      <c r="R43" s="165">
        <v>0</v>
      </c>
      <c r="S43" s="165">
        <v>0</v>
      </c>
      <c r="T43" s="165">
        <v>0</v>
      </c>
      <c r="U43" s="165">
        <v>0</v>
      </c>
      <c r="V43" s="165">
        <v>0</v>
      </c>
      <c r="W43" s="165">
        <v>0</v>
      </c>
      <c r="X43" s="165">
        <v>0</v>
      </c>
      <c r="Y43" s="165">
        <v>0</v>
      </c>
    </row>
    <row r="44" spans="1:27">
      <c r="A44" s="123"/>
      <c r="B44" s="170"/>
      <c r="C44" s="169" t="s">
        <v>399</v>
      </c>
      <c r="F44" s="168">
        <v>0</v>
      </c>
      <c r="G44" s="168">
        <v>0</v>
      </c>
      <c r="H44" s="168">
        <v>0</v>
      </c>
      <c r="I44" s="168">
        <v>0</v>
      </c>
      <c r="J44" s="168">
        <v>0</v>
      </c>
      <c r="K44" s="168">
        <v>0</v>
      </c>
      <c r="L44" s="168">
        <v>0</v>
      </c>
      <c r="M44" s="168">
        <v>0</v>
      </c>
      <c r="N44" s="168">
        <v>0</v>
      </c>
      <c r="O44" s="168">
        <v>0</v>
      </c>
      <c r="P44" s="168">
        <v>0</v>
      </c>
      <c r="Q44" s="168">
        <v>0</v>
      </c>
      <c r="R44" s="168">
        <v>0</v>
      </c>
      <c r="S44" s="168">
        <v>0</v>
      </c>
      <c r="T44" s="168">
        <v>0</v>
      </c>
      <c r="U44" s="168">
        <v>0</v>
      </c>
      <c r="V44" s="168">
        <v>0</v>
      </c>
      <c r="W44" s="168">
        <v>0</v>
      </c>
      <c r="X44" s="168">
        <v>0</v>
      </c>
      <c r="Y44" s="168">
        <v>0</v>
      </c>
    </row>
    <row r="45" spans="1:27">
      <c r="A45" s="123"/>
      <c r="B45" s="170"/>
      <c r="C45" s="169" t="s">
        <v>398</v>
      </c>
      <c r="F45" s="130">
        <v>0</v>
      </c>
      <c r="G45" s="130">
        <v>0</v>
      </c>
      <c r="H45" s="130">
        <v>0</v>
      </c>
      <c r="I45" s="130">
        <v>0</v>
      </c>
      <c r="J45" s="130">
        <v>0</v>
      </c>
      <c r="K45" s="130">
        <v>0</v>
      </c>
      <c r="L45" s="130">
        <v>0</v>
      </c>
      <c r="M45" s="130">
        <v>0</v>
      </c>
      <c r="N45" s="130">
        <v>0</v>
      </c>
      <c r="O45" s="130">
        <v>0</v>
      </c>
      <c r="P45" s="130">
        <v>0</v>
      </c>
      <c r="Q45" s="130">
        <v>0</v>
      </c>
      <c r="R45" s="130">
        <v>0</v>
      </c>
      <c r="S45" s="130">
        <v>0</v>
      </c>
      <c r="T45" s="130">
        <v>0</v>
      </c>
      <c r="U45" s="130">
        <v>0</v>
      </c>
      <c r="V45" s="130">
        <v>0</v>
      </c>
      <c r="W45" s="130">
        <v>0</v>
      </c>
      <c r="X45" s="130">
        <v>0</v>
      </c>
      <c r="Y45" s="130">
        <v>0</v>
      </c>
    </row>
    <row r="46" spans="1:27" s="156" customFormat="1">
      <c r="A46" s="123"/>
      <c r="B46" s="170"/>
      <c r="C46" s="169" t="s">
        <v>397</v>
      </c>
      <c r="D46" s="104"/>
      <c r="E46" s="104"/>
      <c r="F46" s="130">
        <v>0.44669690224807623</v>
      </c>
      <c r="G46" s="130">
        <v>0.4344515193576054</v>
      </c>
      <c r="H46" s="130">
        <v>0.4350564752060877</v>
      </c>
      <c r="I46" s="130">
        <v>0.57174438052659893</v>
      </c>
      <c r="J46" s="130">
        <v>0.69771698847595709</v>
      </c>
      <c r="K46" s="130">
        <v>0.62918980209974695</v>
      </c>
      <c r="L46" s="130">
        <v>0.53748266639955089</v>
      </c>
      <c r="M46" s="130">
        <v>0.46885211636991625</v>
      </c>
      <c r="N46" s="130">
        <v>0.37878926613827252</v>
      </c>
      <c r="O46" s="130">
        <v>0.29587375617773609</v>
      </c>
      <c r="P46" s="130">
        <v>0.28585457139486448</v>
      </c>
      <c r="Q46" s="130">
        <v>0.1266061798288852</v>
      </c>
      <c r="R46" s="130">
        <v>0</v>
      </c>
      <c r="S46" s="130">
        <v>0</v>
      </c>
      <c r="T46" s="130">
        <v>0</v>
      </c>
      <c r="U46" s="130">
        <v>0</v>
      </c>
      <c r="V46" s="130">
        <v>0</v>
      </c>
      <c r="W46" s="130">
        <v>0</v>
      </c>
      <c r="X46" s="130">
        <v>0</v>
      </c>
      <c r="Y46" s="130">
        <v>0</v>
      </c>
    </row>
    <row r="47" spans="1:27">
      <c r="A47" s="143" t="s">
        <v>373</v>
      </c>
      <c r="B47" s="142" t="s">
        <v>396</v>
      </c>
      <c r="C47" s="142"/>
      <c r="D47" s="156"/>
      <c r="E47" s="156"/>
      <c r="F47" s="165">
        <v>1507.002</v>
      </c>
      <c r="G47" s="165">
        <v>1645.5545886666664</v>
      </c>
      <c r="H47" s="165">
        <v>1644.062354666667</v>
      </c>
      <c r="I47" s="165">
        <v>1649.0773333333332</v>
      </c>
      <c r="J47" s="165">
        <v>1624.657406</v>
      </c>
      <c r="K47" s="165">
        <v>1686.9123970000001</v>
      </c>
      <c r="L47" s="165">
        <v>1750.9706346666665</v>
      </c>
      <c r="M47" s="165">
        <v>1795.0608999999999</v>
      </c>
      <c r="N47" s="165">
        <v>2061.9696310000004</v>
      </c>
      <c r="O47" s="165">
        <v>1868.87</v>
      </c>
      <c r="P47" s="165">
        <v>1820.2790000000002</v>
      </c>
      <c r="Q47" s="165">
        <v>1271.6210000000001</v>
      </c>
      <c r="R47" s="165">
        <v>1062.009</v>
      </c>
      <c r="S47" s="165">
        <v>1232.3920000000003</v>
      </c>
      <c r="T47" s="165">
        <v>1357.4809</v>
      </c>
      <c r="U47" s="165">
        <v>1130.819919</v>
      </c>
      <c r="V47" s="165">
        <v>1015.1959083</v>
      </c>
      <c r="W47" s="165">
        <v>1100.8778</v>
      </c>
      <c r="X47" s="165">
        <v>1150.451</v>
      </c>
      <c r="Y47" s="165">
        <v>1148.1669999999999</v>
      </c>
    </row>
    <row r="48" spans="1:27">
      <c r="A48" s="123"/>
      <c r="B48" s="122"/>
      <c r="C48" s="167" t="s">
        <v>395</v>
      </c>
      <c r="D48" s="166"/>
      <c r="F48" s="168">
        <v>0</v>
      </c>
      <c r="G48" s="168">
        <v>0</v>
      </c>
      <c r="H48" s="168">
        <v>0</v>
      </c>
      <c r="I48" s="168">
        <v>0</v>
      </c>
      <c r="J48" s="168">
        <v>0</v>
      </c>
      <c r="K48" s="168">
        <v>0</v>
      </c>
      <c r="L48" s="168">
        <v>0</v>
      </c>
      <c r="M48" s="168">
        <v>0</v>
      </c>
      <c r="N48" s="168">
        <v>0</v>
      </c>
      <c r="O48" s="168">
        <v>0</v>
      </c>
      <c r="P48" s="168">
        <v>0</v>
      </c>
      <c r="Q48" s="168">
        <v>0</v>
      </c>
      <c r="R48" s="168">
        <v>0</v>
      </c>
      <c r="S48" s="168">
        <v>0</v>
      </c>
      <c r="T48" s="168">
        <v>0</v>
      </c>
      <c r="U48" s="168">
        <v>0</v>
      </c>
      <c r="V48" s="168">
        <v>0</v>
      </c>
      <c r="W48" s="168">
        <v>0</v>
      </c>
      <c r="X48" s="168">
        <v>0</v>
      </c>
      <c r="Y48" s="168">
        <v>0</v>
      </c>
    </row>
    <row r="49" spans="1:25">
      <c r="A49" s="123"/>
      <c r="B49" s="122"/>
      <c r="C49" s="167" t="s">
        <v>394</v>
      </c>
      <c r="D49" s="166"/>
      <c r="F49" s="168">
        <v>1507.002</v>
      </c>
      <c r="G49" s="168">
        <v>1645.5545886666664</v>
      </c>
      <c r="H49" s="168">
        <v>1644.062354666667</v>
      </c>
      <c r="I49" s="168">
        <v>1649.0773333333332</v>
      </c>
      <c r="J49" s="168">
        <v>1624.657406</v>
      </c>
      <c r="K49" s="168">
        <v>1686.9123970000001</v>
      </c>
      <c r="L49" s="168">
        <v>1750.9706346666665</v>
      </c>
      <c r="M49" s="168">
        <v>1795.0608999999999</v>
      </c>
      <c r="N49" s="168">
        <v>2061.9696310000004</v>
      </c>
      <c r="O49" s="168">
        <v>1868.87</v>
      </c>
      <c r="P49" s="168">
        <v>1820.2790000000002</v>
      </c>
      <c r="Q49" s="168">
        <v>1271.6210000000001</v>
      </c>
      <c r="R49" s="168">
        <v>1062.009</v>
      </c>
      <c r="S49" s="168">
        <v>1232.3920000000003</v>
      </c>
      <c r="T49" s="168">
        <v>1357.4809</v>
      </c>
      <c r="U49" s="168">
        <v>1130.819919</v>
      </c>
      <c r="V49" s="168">
        <v>1015.1959083</v>
      </c>
      <c r="W49" s="168">
        <v>1100.8778</v>
      </c>
      <c r="X49" s="168">
        <v>1150.451</v>
      </c>
      <c r="Y49" s="168">
        <v>1148.1669999999999</v>
      </c>
    </row>
    <row r="50" spans="1:25" s="156" customFormat="1">
      <c r="A50" s="123"/>
      <c r="B50" s="122"/>
      <c r="C50" s="167" t="s">
        <v>393</v>
      </c>
      <c r="D50" s="166"/>
      <c r="E50" s="104"/>
      <c r="F50" s="130">
        <v>0</v>
      </c>
      <c r="G50" s="130">
        <v>0</v>
      </c>
      <c r="H50" s="130">
        <v>0</v>
      </c>
      <c r="I50" s="130">
        <v>0</v>
      </c>
      <c r="J50" s="130">
        <v>0</v>
      </c>
      <c r="K50" s="130">
        <v>0</v>
      </c>
      <c r="L50" s="130">
        <v>0</v>
      </c>
      <c r="M50" s="130">
        <v>0</v>
      </c>
      <c r="N50" s="130">
        <v>0</v>
      </c>
      <c r="O50" s="130">
        <v>0</v>
      </c>
      <c r="P50" s="130">
        <v>0</v>
      </c>
      <c r="Q50" s="130">
        <v>0</v>
      </c>
      <c r="R50" s="130">
        <v>0</v>
      </c>
      <c r="S50" s="130">
        <v>0</v>
      </c>
      <c r="T50" s="130">
        <v>0</v>
      </c>
      <c r="U50" s="130">
        <v>0</v>
      </c>
      <c r="V50" s="130">
        <v>0</v>
      </c>
      <c r="W50" s="130">
        <v>0</v>
      </c>
      <c r="X50" s="130">
        <v>0</v>
      </c>
      <c r="Y50" s="130">
        <v>0</v>
      </c>
    </row>
    <row r="51" spans="1:25" s="156" customFormat="1">
      <c r="A51" s="143" t="s">
        <v>380</v>
      </c>
      <c r="B51" s="142" t="s">
        <v>392</v>
      </c>
      <c r="C51" s="142"/>
      <c r="F51" s="165">
        <v>59.834509339502368</v>
      </c>
      <c r="G51" s="165">
        <v>59.834509339502368</v>
      </c>
      <c r="H51" s="165">
        <v>59.834509339502368</v>
      </c>
      <c r="I51" s="165">
        <v>59.834509339502368</v>
      </c>
      <c r="J51" s="165">
        <v>59.834509339502368</v>
      </c>
      <c r="K51" s="165">
        <v>125.39401633660111</v>
      </c>
      <c r="L51" s="165">
        <v>146.98917012983657</v>
      </c>
      <c r="M51" s="165">
        <v>231.23769350640055</v>
      </c>
      <c r="N51" s="165">
        <v>307.48519648334582</v>
      </c>
      <c r="O51" s="165">
        <v>369.0274418096584</v>
      </c>
      <c r="P51" s="165">
        <v>468.82677746122152</v>
      </c>
      <c r="Q51" s="165">
        <v>643.8934049608913</v>
      </c>
      <c r="R51" s="165">
        <v>686.55109985967374</v>
      </c>
      <c r="S51" s="165">
        <v>823.11351377495635</v>
      </c>
      <c r="T51" s="165">
        <v>880.14155245566326</v>
      </c>
      <c r="U51" s="165">
        <v>922.30189273116594</v>
      </c>
      <c r="V51" s="165">
        <v>885.89493922087536</v>
      </c>
      <c r="W51" s="165">
        <v>920.2461474243612</v>
      </c>
      <c r="X51" s="165">
        <v>940.68960891962911</v>
      </c>
      <c r="Y51" s="165">
        <v>1028.0403799985579</v>
      </c>
    </row>
    <row r="52" spans="1:25" s="146" customFormat="1">
      <c r="A52" s="164" t="s">
        <v>391</v>
      </c>
      <c r="B52" s="163" t="s">
        <v>390</v>
      </c>
      <c r="C52" s="163"/>
      <c r="D52" s="116"/>
      <c r="E52" s="116"/>
      <c r="F52" s="162">
        <v>777.2612375111355</v>
      </c>
      <c r="G52" s="162">
        <v>824.82831338595827</v>
      </c>
      <c r="H52" s="162">
        <v>613.57714817700833</v>
      </c>
      <c r="I52" s="162">
        <v>673.16352987961511</v>
      </c>
      <c r="J52" s="162">
        <v>744.17986055122446</v>
      </c>
      <c r="K52" s="162">
        <v>680.7181108642576</v>
      </c>
      <c r="L52" s="162">
        <v>742.88264952009581</v>
      </c>
      <c r="M52" s="162">
        <v>804.87486944281386</v>
      </c>
      <c r="N52" s="162">
        <v>591.75152900267369</v>
      </c>
      <c r="O52" s="162">
        <v>761.27070857354897</v>
      </c>
      <c r="P52" s="162">
        <v>788.67558100656493</v>
      </c>
      <c r="Q52" s="162">
        <v>421.06915893926032</v>
      </c>
      <c r="R52" s="162">
        <v>492.03787140928807</v>
      </c>
      <c r="S52" s="162">
        <v>482.22314592963733</v>
      </c>
      <c r="T52" s="162">
        <v>431.46964190888792</v>
      </c>
      <c r="U52" s="162">
        <v>556.54225892247314</v>
      </c>
      <c r="V52" s="162">
        <v>363.50107826125327</v>
      </c>
      <c r="W52" s="162">
        <v>302.17307860159735</v>
      </c>
      <c r="X52" s="162">
        <v>472.47195224995426</v>
      </c>
      <c r="Y52" s="162">
        <v>480.74185347905222</v>
      </c>
    </row>
    <row r="53" spans="1:25" s="146" customFormat="1">
      <c r="A53" s="161" t="s">
        <v>389</v>
      </c>
      <c r="B53" s="160"/>
      <c r="C53" s="160"/>
      <c r="D53" s="159"/>
      <c r="E53" s="159"/>
      <c r="F53" s="158">
        <v>21.232879162388141</v>
      </c>
      <c r="G53" s="158">
        <v>20.451786435480333</v>
      </c>
      <c r="H53" s="158">
        <v>17.33354479364678</v>
      </c>
      <c r="I53" s="158">
        <v>19.825923898870993</v>
      </c>
      <c r="J53" s="158">
        <v>22.232107628653306</v>
      </c>
      <c r="K53" s="158">
        <v>27.40137318927292</v>
      </c>
      <c r="L53" s="158">
        <v>28.345767647808159</v>
      </c>
      <c r="M53" s="158">
        <v>30.380363706161042</v>
      </c>
      <c r="N53" s="158">
        <v>28.066139346501398</v>
      </c>
      <c r="O53" s="158">
        <v>29.103060963677251</v>
      </c>
      <c r="P53" s="158">
        <v>32.529342224807387</v>
      </c>
      <c r="Q53" s="158">
        <v>28.525923755037798</v>
      </c>
      <c r="R53" s="158">
        <v>22.168526119207598</v>
      </c>
      <c r="S53" s="158">
        <v>29.406754538235578</v>
      </c>
      <c r="T53" s="158">
        <v>28.02527873089333</v>
      </c>
      <c r="U53" s="158">
        <v>23.803500275323557</v>
      </c>
      <c r="V53" s="158">
        <v>42.903540779705509</v>
      </c>
      <c r="W53" s="158">
        <v>42.701773857978928</v>
      </c>
      <c r="X53" s="158">
        <v>44.846378961247808</v>
      </c>
      <c r="Y53" s="158">
        <v>34.455513689054463</v>
      </c>
    </row>
    <row r="54" spans="1:25">
      <c r="A54" s="115" t="s">
        <v>388</v>
      </c>
      <c r="B54" s="147"/>
      <c r="C54" s="147"/>
      <c r="D54" s="146"/>
      <c r="E54" s="146"/>
      <c r="F54" s="157">
        <v>2114.4518609411466</v>
      </c>
      <c r="G54" s="157">
        <v>2061.4683061831843</v>
      </c>
      <c r="H54" s="157">
        <v>2202.5399897113721</v>
      </c>
      <c r="I54" s="157">
        <v>2217.9629815660351</v>
      </c>
      <c r="J54" s="157">
        <v>2261.7762145202578</v>
      </c>
      <c r="K54" s="157">
        <v>2330.5779831284781</v>
      </c>
      <c r="L54" s="157">
        <v>2362.4158986891534</v>
      </c>
      <c r="M54" s="157">
        <v>2380.7656599602478</v>
      </c>
      <c r="N54" s="157">
        <v>2241.2200848410907</v>
      </c>
      <c r="O54" s="157">
        <v>2373.673561751375</v>
      </c>
      <c r="P54" s="157">
        <v>2376.7970160039285</v>
      </c>
      <c r="Q54" s="157">
        <v>2468.926651102639</v>
      </c>
      <c r="R54" s="157">
        <v>2468.8805264851935</v>
      </c>
      <c r="S54" s="157">
        <v>2543.2329039561491</v>
      </c>
      <c r="T54" s="157">
        <v>2578.9553399907018</v>
      </c>
      <c r="U54" s="157">
        <v>2549.2631460273496</v>
      </c>
      <c r="V54" s="157">
        <v>2322.2450827970224</v>
      </c>
      <c r="W54" s="157">
        <v>2329.6989647046316</v>
      </c>
      <c r="X54" s="157">
        <v>2249.2116353683291</v>
      </c>
      <c r="Y54" s="157">
        <v>2107.0558525634219</v>
      </c>
    </row>
    <row r="55" spans="1:25">
      <c r="A55" s="143" t="s">
        <v>377</v>
      </c>
      <c r="B55" s="142" t="s">
        <v>387</v>
      </c>
      <c r="C55" s="142"/>
      <c r="F55" s="155">
        <v>987.08717331869923</v>
      </c>
      <c r="G55" s="155">
        <v>1015.1023109345895</v>
      </c>
      <c r="H55" s="155">
        <v>1062.3787255225589</v>
      </c>
      <c r="I55" s="155">
        <v>1056.01407733061</v>
      </c>
      <c r="J55" s="155">
        <v>1094.5256630266347</v>
      </c>
      <c r="K55" s="155">
        <v>1149.3239049571305</v>
      </c>
      <c r="L55" s="155">
        <v>1167.2011027790313</v>
      </c>
      <c r="M55" s="155">
        <v>1148.2471758081106</v>
      </c>
      <c r="N55" s="155">
        <v>1120.5713434887475</v>
      </c>
      <c r="O55" s="155">
        <v>1159.9507752492621</v>
      </c>
      <c r="P55" s="155">
        <v>1184.9038399400813</v>
      </c>
      <c r="Q55" s="155">
        <v>1198.4974592826447</v>
      </c>
      <c r="R55" s="155">
        <v>1234.112790513821</v>
      </c>
      <c r="S55" s="155">
        <v>1265.4439357828348</v>
      </c>
      <c r="T55" s="155">
        <v>1300.4425521242051</v>
      </c>
      <c r="U55" s="155">
        <v>1276.9527805253861</v>
      </c>
      <c r="V55" s="155">
        <v>1184.3266842106552</v>
      </c>
      <c r="W55" s="155">
        <v>1132.2017773483894</v>
      </c>
      <c r="X55" s="155">
        <v>1081.5393197801629</v>
      </c>
      <c r="Y55" s="155">
        <v>1003.2025804780632</v>
      </c>
    </row>
    <row r="56" spans="1:25" s="156" customFormat="1">
      <c r="A56" s="143" t="s">
        <v>386</v>
      </c>
      <c r="B56" s="142" t="s">
        <v>385</v>
      </c>
      <c r="C56" s="142"/>
      <c r="D56" s="104"/>
      <c r="E56" s="104"/>
      <c r="F56" s="155">
        <v>312.2805237670085</v>
      </c>
      <c r="G56" s="155">
        <v>317.92459731004283</v>
      </c>
      <c r="H56" s="155">
        <v>327.18685169614139</v>
      </c>
      <c r="I56" s="155">
        <v>328.72055341300387</v>
      </c>
      <c r="J56" s="155">
        <v>341.18187141561066</v>
      </c>
      <c r="K56" s="155">
        <v>352.20214103906528</v>
      </c>
      <c r="L56" s="155">
        <v>356.57428067684384</v>
      </c>
      <c r="M56" s="155">
        <v>357.47235824935365</v>
      </c>
      <c r="N56" s="155">
        <v>354.5281090226552</v>
      </c>
      <c r="O56" s="155">
        <v>361.92014087570715</v>
      </c>
      <c r="P56" s="155">
        <v>372.34129001075115</v>
      </c>
      <c r="Q56" s="155">
        <v>379.08698487747688</v>
      </c>
      <c r="R56" s="155">
        <v>387.06841531280548</v>
      </c>
      <c r="S56" s="155">
        <v>391.10545012106718</v>
      </c>
      <c r="T56" s="155">
        <v>395.26262053526409</v>
      </c>
      <c r="U56" s="155">
        <v>387.96977489132337</v>
      </c>
      <c r="V56" s="155">
        <v>370.92934189994708</v>
      </c>
      <c r="W56" s="155">
        <v>360.90030095216883</v>
      </c>
      <c r="X56" s="155">
        <v>352.44340813547331</v>
      </c>
      <c r="Y56" s="155">
        <v>341.47199139225415</v>
      </c>
    </row>
    <row r="57" spans="1:25">
      <c r="A57" s="143" t="s">
        <v>373</v>
      </c>
      <c r="B57" s="142" t="s">
        <v>384</v>
      </c>
      <c r="C57" s="142"/>
      <c r="D57" s="156"/>
      <c r="E57" s="156"/>
      <c r="F57" s="155">
        <v>815.08416385543887</v>
      </c>
      <c r="G57" s="155">
        <v>728.44139793855209</v>
      </c>
      <c r="H57" s="155">
        <v>812.97441249267206</v>
      </c>
      <c r="I57" s="155">
        <v>833.22835082242091</v>
      </c>
      <c r="J57" s="155">
        <v>826.06868007801268</v>
      </c>
      <c r="K57" s="155">
        <v>829.05193713228221</v>
      </c>
      <c r="L57" s="155">
        <v>838.64051523327862</v>
      </c>
      <c r="M57" s="155">
        <v>875.0461259027835</v>
      </c>
      <c r="N57" s="155">
        <v>766.12063232968808</v>
      </c>
      <c r="O57" s="155">
        <v>851.80264562640582</v>
      </c>
      <c r="P57" s="155">
        <v>819.55188605309627</v>
      </c>
      <c r="Q57" s="155">
        <v>891.34220694251758</v>
      </c>
      <c r="R57" s="155">
        <v>847.69932065856733</v>
      </c>
      <c r="S57" s="155">
        <v>886.68351805224711</v>
      </c>
      <c r="T57" s="155">
        <v>883.25016733123232</v>
      </c>
      <c r="U57" s="155">
        <v>884.34059061064056</v>
      </c>
      <c r="V57" s="155">
        <v>766.98905668641976</v>
      </c>
      <c r="W57" s="155">
        <v>836.59688640407319</v>
      </c>
      <c r="X57" s="155">
        <v>815.22890745269274</v>
      </c>
      <c r="Y57" s="155">
        <v>762.38128069310449</v>
      </c>
    </row>
    <row r="58" spans="1:25">
      <c r="A58" s="143"/>
      <c r="B58" s="142"/>
      <c r="C58" s="154" t="s">
        <v>383</v>
      </c>
      <c r="F58" s="153">
        <v>368.47335316700668</v>
      </c>
      <c r="G58" s="153">
        <v>302.46181999490551</v>
      </c>
      <c r="H58" s="153">
        <v>344.75333542566773</v>
      </c>
      <c r="I58" s="153">
        <v>359.36186797882266</v>
      </c>
      <c r="J58" s="153">
        <v>345.85364825964581</v>
      </c>
      <c r="K58" s="153">
        <v>338.08358792060648</v>
      </c>
      <c r="L58" s="153">
        <v>344.14126253134935</v>
      </c>
      <c r="M58" s="153">
        <v>368.49744156224455</v>
      </c>
      <c r="N58" s="153">
        <v>296.53033500198552</v>
      </c>
      <c r="O58" s="153">
        <v>342.52482288236962</v>
      </c>
      <c r="P58" s="153">
        <v>311.8842466168</v>
      </c>
      <c r="Q58" s="153">
        <v>354.07819627207243</v>
      </c>
      <c r="R58" s="153">
        <v>319.58072931419474</v>
      </c>
      <c r="S58" s="153">
        <v>337.43178607628693</v>
      </c>
      <c r="T58" s="153">
        <v>331.96626549234452</v>
      </c>
      <c r="U58" s="153">
        <v>338.41342418196854</v>
      </c>
      <c r="V58" s="153">
        <v>280.06978428657277</v>
      </c>
      <c r="W58" s="153">
        <v>334.95880290545449</v>
      </c>
      <c r="X58" s="153">
        <v>330.22410042235543</v>
      </c>
      <c r="Y58" s="153">
        <v>313.26475111763006</v>
      </c>
    </row>
    <row r="59" spans="1:25">
      <c r="A59" s="143"/>
      <c r="B59" s="142"/>
      <c r="C59" s="154" t="s">
        <v>382</v>
      </c>
      <c r="F59" s="153">
        <v>168.15660950127875</v>
      </c>
      <c r="G59" s="153">
        <v>174.82121961363927</v>
      </c>
      <c r="H59" s="153">
        <v>188.85662956725608</v>
      </c>
      <c r="I59" s="153">
        <v>188.18449836176418</v>
      </c>
      <c r="J59" s="153">
        <v>195.8607505510063</v>
      </c>
      <c r="K59" s="153">
        <v>207.03265799651706</v>
      </c>
      <c r="L59" s="153">
        <v>208.19341438940813</v>
      </c>
      <c r="M59" s="153">
        <v>205.15978286264439</v>
      </c>
      <c r="N59" s="153">
        <v>204.94960448999794</v>
      </c>
      <c r="O59" s="153">
        <v>218.46918542575267</v>
      </c>
      <c r="P59" s="153">
        <v>225.60709360887321</v>
      </c>
      <c r="Q59" s="153">
        <v>229.71307731631214</v>
      </c>
      <c r="R59" s="153">
        <v>237.20318148510609</v>
      </c>
      <c r="S59" s="153">
        <v>245.34102318084132</v>
      </c>
      <c r="T59" s="153">
        <v>247.99573424393927</v>
      </c>
      <c r="U59" s="153">
        <v>243.94304067787414</v>
      </c>
      <c r="V59" s="153">
        <v>224.53267109933927</v>
      </c>
      <c r="W59" s="153">
        <v>214.20410630146333</v>
      </c>
      <c r="X59" s="153">
        <v>203.42176155828076</v>
      </c>
      <c r="Y59" s="153">
        <v>183.65660691490493</v>
      </c>
    </row>
    <row r="60" spans="1:25" s="146" customFormat="1">
      <c r="A60" s="135"/>
      <c r="B60" s="131"/>
      <c r="C60" s="154" t="s">
        <v>381</v>
      </c>
      <c r="D60" s="108"/>
      <c r="E60" s="108"/>
      <c r="F60" s="153">
        <v>278.45420118715339</v>
      </c>
      <c r="G60" s="153">
        <v>251.15835833000736</v>
      </c>
      <c r="H60" s="153">
        <v>279.36444749974822</v>
      </c>
      <c r="I60" s="153">
        <v>285.68198448183392</v>
      </c>
      <c r="J60" s="153">
        <v>284.3542812673607</v>
      </c>
      <c r="K60" s="153">
        <v>283.93569121515878</v>
      </c>
      <c r="L60" s="153">
        <v>286.30583831252113</v>
      </c>
      <c r="M60" s="153">
        <v>301.38890147789454</v>
      </c>
      <c r="N60" s="153">
        <v>264.64069283770465</v>
      </c>
      <c r="O60" s="153">
        <v>290.8086373182835</v>
      </c>
      <c r="P60" s="153">
        <v>282.06054582742303</v>
      </c>
      <c r="Q60" s="153">
        <v>307.55093335413312</v>
      </c>
      <c r="R60" s="153">
        <v>290.91540985926656</v>
      </c>
      <c r="S60" s="153">
        <v>303.91070879511881</v>
      </c>
      <c r="T60" s="153">
        <v>303.28816759494856</v>
      </c>
      <c r="U60" s="153">
        <v>301.98412575079789</v>
      </c>
      <c r="V60" s="153">
        <v>262.38660130050772</v>
      </c>
      <c r="W60" s="153">
        <v>287.43397719715529</v>
      </c>
      <c r="X60" s="153">
        <v>281.58304547205654</v>
      </c>
      <c r="Y60" s="153">
        <v>265.45992266056948</v>
      </c>
    </row>
    <row r="61" spans="1:25">
      <c r="A61" s="152" t="s">
        <v>380</v>
      </c>
      <c r="B61" s="151" t="s">
        <v>379</v>
      </c>
      <c r="C61" s="150"/>
      <c r="D61" s="149"/>
      <c r="E61" s="149"/>
      <c r="F61" s="148">
        <v>0</v>
      </c>
      <c r="G61" s="148">
        <v>0</v>
      </c>
      <c r="H61" s="148">
        <v>0</v>
      </c>
      <c r="I61" s="148">
        <v>0</v>
      </c>
      <c r="J61" s="148">
        <v>0</v>
      </c>
      <c r="K61" s="148">
        <v>0</v>
      </c>
      <c r="L61" s="148">
        <v>0</v>
      </c>
      <c r="M61" s="148">
        <v>0</v>
      </c>
      <c r="N61" s="148">
        <v>0</v>
      </c>
      <c r="O61" s="148">
        <v>0</v>
      </c>
      <c r="P61" s="148">
        <v>0</v>
      </c>
      <c r="Q61" s="148">
        <v>0</v>
      </c>
      <c r="R61" s="148">
        <v>0</v>
      </c>
      <c r="S61" s="148">
        <v>0</v>
      </c>
      <c r="T61" s="148">
        <v>0</v>
      </c>
      <c r="U61" s="148">
        <v>0</v>
      </c>
      <c r="V61" s="148">
        <v>0</v>
      </c>
      <c r="W61" s="148">
        <v>0</v>
      </c>
      <c r="X61" s="148">
        <v>0</v>
      </c>
      <c r="Y61" s="148">
        <v>0</v>
      </c>
    </row>
    <row r="62" spans="1:25">
      <c r="A62" s="115" t="s">
        <v>378</v>
      </c>
      <c r="B62" s="147"/>
      <c r="C62" s="147"/>
      <c r="D62" s="146"/>
      <c r="E62" s="146"/>
      <c r="F62" s="145">
        <v>3418.7318209900623</v>
      </c>
      <c r="G62" s="145">
        <v>3622.5748695823972</v>
      </c>
      <c r="H62" s="145">
        <v>3691.14832048266</v>
      </c>
      <c r="I62" s="145">
        <v>3663.9075446986694</v>
      </c>
      <c r="J62" s="145">
        <v>3708.3054718084331</v>
      </c>
      <c r="K62" s="145">
        <v>3761.6602441288687</v>
      </c>
      <c r="L62" s="145">
        <v>3990.2316537167944</v>
      </c>
      <c r="M62" s="145">
        <v>4001.0375807004689</v>
      </c>
      <c r="N62" s="145">
        <v>3906.6584962076831</v>
      </c>
      <c r="O62" s="145">
        <v>3814.1419221270021</v>
      </c>
      <c r="P62" s="145">
        <v>3867.2491351444728</v>
      </c>
      <c r="Q62" s="145">
        <v>3913.0442315490368</v>
      </c>
      <c r="R62" s="145">
        <v>3885.6114555312256</v>
      </c>
      <c r="S62" s="145">
        <v>3863.6413176090791</v>
      </c>
      <c r="T62" s="145">
        <v>3792.2787445174745</v>
      </c>
      <c r="U62" s="144">
        <v>3719.5434018093292</v>
      </c>
      <c r="V62" s="144">
        <v>3795.7470195692517</v>
      </c>
      <c r="W62" s="144">
        <v>3812.2011546528242</v>
      </c>
      <c r="X62" s="144">
        <v>3806.2428938656813</v>
      </c>
      <c r="Y62" s="144">
        <v>3850.0933047904391</v>
      </c>
    </row>
    <row r="63" spans="1:25">
      <c r="A63" s="143" t="s">
        <v>377</v>
      </c>
      <c r="B63" s="142" t="s">
        <v>376</v>
      </c>
      <c r="C63" s="142"/>
      <c r="F63" s="129">
        <v>3274.4139078344915</v>
      </c>
      <c r="G63" s="129">
        <v>3471.9811617933092</v>
      </c>
      <c r="H63" s="129">
        <v>3536.4587057352096</v>
      </c>
      <c r="I63" s="129">
        <v>3504.3376768872749</v>
      </c>
      <c r="J63" s="129">
        <v>3544.7888170734509</v>
      </c>
      <c r="K63" s="129">
        <v>3594.7944866177418</v>
      </c>
      <c r="L63" s="129">
        <v>3821.1297066397137</v>
      </c>
      <c r="M63" s="129">
        <v>3827.8415487065581</v>
      </c>
      <c r="N63" s="129">
        <v>3732.5969316759306</v>
      </c>
      <c r="O63" s="129">
        <v>3641.306322678653</v>
      </c>
      <c r="P63" s="129">
        <v>3692.4595070307173</v>
      </c>
      <c r="Q63" s="129">
        <v>3738.7595301511169</v>
      </c>
      <c r="R63" s="129">
        <v>3709.5294246166413</v>
      </c>
      <c r="S63" s="129">
        <v>3688.1985274704343</v>
      </c>
      <c r="T63" s="129">
        <v>3615.5794157196292</v>
      </c>
      <c r="U63" s="141">
        <v>3543.1395364523396</v>
      </c>
      <c r="V63" s="141">
        <v>3618.3751876972415</v>
      </c>
      <c r="W63" s="141">
        <v>3632.3794469930217</v>
      </c>
      <c r="X63" s="141">
        <v>3626.6197953253932</v>
      </c>
      <c r="Y63" s="141">
        <v>3669.2380935981537</v>
      </c>
    </row>
    <row r="64" spans="1:25">
      <c r="A64" s="143" t="s">
        <v>375</v>
      </c>
      <c r="B64" s="142" t="s">
        <v>374</v>
      </c>
      <c r="C64" s="142"/>
      <c r="F64" s="129">
        <v>78.805337774792775</v>
      </c>
      <c r="G64" s="129">
        <v>81.67600850893578</v>
      </c>
      <c r="H64" s="129">
        <v>84.327373095449929</v>
      </c>
      <c r="I64" s="129">
        <v>87.714571984774366</v>
      </c>
      <c r="J64" s="129">
        <v>91.056179067751799</v>
      </c>
      <c r="K64" s="129">
        <v>94.271484106567939</v>
      </c>
      <c r="L64" s="129">
        <v>96.765945943352804</v>
      </c>
      <c r="M64" s="129">
        <v>100.05450006972728</v>
      </c>
      <c r="N64" s="129">
        <v>101.70264461993122</v>
      </c>
      <c r="O64" s="129">
        <v>103.21113664085513</v>
      </c>
      <c r="P64" s="129">
        <v>104.72796302803604</v>
      </c>
      <c r="Q64" s="129">
        <v>106.87357512394502</v>
      </c>
      <c r="R64" s="129">
        <v>107.23654942683039</v>
      </c>
      <c r="S64" s="129">
        <v>106.66040196941179</v>
      </c>
      <c r="T64" s="129">
        <v>108.00232424498057</v>
      </c>
      <c r="U64" s="141">
        <v>107.8152850228952</v>
      </c>
      <c r="V64" s="141">
        <v>108.90515518645088</v>
      </c>
      <c r="W64" s="141">
        <v>111.52711123995189</v>
      </c>
      <c r="X64" s="141">
        <v>111.5218826988143</v>
      </c>
      <c r="Y64" s="141">
        <v>112.95311784322112</v>
      </c>
    </row>
    <row r="65" spans="1:29" ht="13" thickBot="1">
      <c r="A65" s="140" t="s">
        <v>373</v>
      </c>
      <c r="B65" s="139" t="s">
        <v>372</v>
      </c>
      <c r="C65" s="139"/>
      <c r="D65" s="138"/>
      <c r="E65" s="138"/>
      <c r="F65" s="137">
        <v>65.512575380777875</v>
      </c>
      <c r="G65" s="137">
        <v>68.917699280152178</v>
      </c>
      <c r="H65" s="137">
        <v>70.362241651999994</v>
      </c>
      <c r="I65" s="137">
        <v>71.855295826619809</v>
      </c>
      <c r="J65" s="137">
        <v>72.460475667230469</v>
      </c>
      <c r="K65" s="137">
        <v>72.594273404558919</v>
      </c>
      <c r="L65" s="137">
        <v>72.336001133727393</v>
      </c>
      <c r="M65" s="137">
        <v>73.141531924183369</v>
      </c>
      <c r="N65" s="137">
        <v>72.358919911821417</v>
      </c>
      <c r="O65" s="137">
        <v>69.624462807493586</v>
      </c>
      <c r="P65" s="137">
        <v>70.061665085719596</v>
      </c>
      <c r="Q65" s="137">
        <v>67.411126273974361</v>
      </c>
      <c r="R65" s="137">
        <v>68.845481487753673</v>
      </c>
      <c r="S65" s="137">
        <v>68.782388169233045</v>
      </c>
      <c r="T65" s="137">
        <v>68.697004552865266</v>
      </c>
      <c r="U65" s="136">
        <v>68.588580334094473</v>
      </c>
      <c r="V65" s="136">
        <v>68.466676685559619</v>
      </c>
      <c r="W65" s="136">
        <v>68.294596419851317</v>
      </c>
      <c r="X65" s="136">
        <v>68.101215841473717</v>
      </c>
      <c r="Y65" s="136">
        <v>67.902093349064444</v>
      </c>
    </row>
    <row r="66" spans="1:29" ht="13" thickTop="1">
      <c r="A66" s="135"/>
      <c r="B66" s="131"/>
      <c r="C66" s="131"/>
      <c r="D66" s="108"/>
      <c r="E66" s="108"/>
      <c r="F66" s="134"/>
      <c r="G66" s="133"/>
      <c r="H66" s="132"/>
      <c r="I66" s="132"/>
      <c r="J66" s="132"/>
      <c r="K66" s="132"/>
      <c r="L66" s="132"/>
      <c r="M66" s="132"/>
      <c r="N66" s="109"/>
      <c r="O66" s="132"/>
      <c r="P66" s="132"/>
      <c r="Q66" s="109"/>
      <c r="R66" s="109"/>
    </row>
    <row r="67" spans="1:29">
      <c r="A67" s="123" t="s">
        <v>371</v>
      </c>
      <c r="B67" s="131"/>
      <c r="C67" s="131"/>
      <c r="D67" s="108"/>
      <c r="E67" s="108"/>
      <c r="F67" s="130"/>
      <c r="G67" s="129"/>
      <c r="H67" s="128"/>
      <c r="I67" s="128"/>
      <c r="J67" s="128"/>
      <c r="K67" s="128"/>
      <c r="L67" s="128"/>
      <c r="M67" s="128"/>
      <c r="O67" s="128"/>
      <c r="P67" s="128"/>
      <c r="R67" s="105"/>
    </row>
    <row r="68" spans="1:29" s="114" customFormat="1">
      <c r="A68" s="125" t="s">
        <v>370</v>
      </c>
      <c r="B68" s="131"/>
      <c r="C68" s="131"/>
      <c r="D68" s="104"/>
      <c r="E68" s="104"/>
      <c r="F68" s="130"/>
      <c r="G68" s="129"/>
      <c r="H68" s="128"/>
      <c r="I68" s="128"/>
      <c r="J68" s="128"/>
      <c r="K68" s="128"/>
      <c r="L68" s="128"/>
      <c r="M68" s="128"/>
      <c r="N68" s="105"/>
      <c r="O68" s="128"/>
      <c r="P68" s="128"/>
      <c r="Q68" s="105"/>
      <c r="R68" s="105"/>
      <c r="S68" s="104"/>
      <c r="T68" s="104"/>
      <c r="U68" s="104"/>
      <c r="V68" s="104"/>
      <c r="W68" s="104"/>
      <c r="X68" s="104"/>
      <c r="Y68" s="104"/>
    </row>
    <row r="69" spans="1:29" s="108" customFormat="1">
      <c r="A69" s="125" t="s">
        <v>369</v>
      </c>
      <c r="B69" s="122"/>
      <c r="C69" s="122"/>
      <c r="D69" s="104"/>
      <c r="E69" s="104"/>
      <c r="F69" s="127"/>
      <c r="G69" s="127"/>
      <c r="H69" s="127"/>
      <c r="I69" s="127"/>
      <c r="J69" s="127"/>
      <c r="K69" s="127"/>
      <c r="L69" s="127"/>
      <c r="M69" s="127"/>
      <c r="N69" s="127"/>
      <c r="O69" s="127"/>
      <c r="P69" s="127"/>
      <c r="Q69" s="127"/>
      <c r="R69" s="127"/>
      <c r="S69" s="114"/>
      <c r="T69" s="114"/>
      <c r="U69" s="114"/>
      <c r="V69" s="114"/>
      <c r="W69" s="114"/>
      <c r="X69" s="114"/>
      <c r="Y69" s="114"/>
    </row>
    <row r="70" spans="1:29" s="108" customFormat="1">
      <c r="A70" s="126" t="s">
        <v>368</v>
      </c>
      <c r="B70" s="122"/>
      <c r="C70" s="122"/>
      <c r="F70" s="109"/>
      <c r="G70" s="109"/>
      <c r="H70" s="109"/>
      <c r="I70" s="109"/>
      <c r="J70" s="109"/>
      <c r="K70" s="109"/>
      <c r="L70" s="109"/>
      <c r="M70" s="109"/>
      <c r="N70" s="109"/>
      <c r="O70" s="109"/>
      <c r="P70" s="109"/>
      <c r="Q70" s="109"/>
      <c r="R70" s="109"/>
    </row>
    <row r="71" spans="1:29" s="116" customFormat="1">
      <c r="A71" s="125" t="s">
        <v>367</v>
      </c>
      <c r="B71" s="122"/>
      <c r="C71" s="122"/>
      <c r="D71" s="108"/>
      <c r="E71" s="108"/>
      <c r="F71" s="109"/>
      <c r="G71" s="109"/>
      <c r="H71" s="109"/>
      <c r="I71" s="109"/>
      <c r="J71" s="109"/>
      <c r="K71" s="109"/>
      <c r="L71" s="109"/>
      <c r="M71" s="109"/>
      <c r="N71" s="109"/>
      <c r="O71" s="109"/>
      <c r="P71" s="109"/>
      <c r="Q71" s="109"/>
      <c r="R71" s="109"/>
      <c r="S71" s="108"/>
      <c r="T71" s="108"/>
      <c r="U71" s="108"/>
      <c r="V71" s="108"/>
      <c r="W71" s="108"/>
      <c r="X71" s="108"/>
      <c r="Y71" s="108"/>
    </row>
    <row r="72" spans="1:29" s="116" customFormat="1">
      <c r="A72" s="125" t="s">
        <v>366</v>
      </c>
      <c r="B72" s="122"/>
      <c r="C72" s="122"/>
      <c r="F72" s="121"/>
      <c r="G72" s="121"/>
      <c r="H72" s="121"/>
      <c r="I72" s="121"/>
      <c r="J72" s="121"/>
      <c r="K72" s="121"/>
      <c r="L72" s="121"/>
      <c r="M72" s="121"/>
      <c r="N72" s="121"/>
      <c r="O72" s="121"/>
      <c r="P72" s="121"/>
      <c r="Q72" s="121"/>
      <c r="R72" s="121"/>
    </row>
    <row r="73" spans="1:29" s="116" customFormat="1" ht="13">
      <c r="A73" s="123" t="s">
        <v>365</v>
      </c>
      <c r="B73" s="124"/>
      <c r="C73" s="122"/>
      <c r="D73" s="108"/>
      <c r="E73" s="108"/>
      <c r="F73" s="109"/>
      <c r="G73" s="109"/>
      <c r="H73" s="109"/>
      <c r="I73" s="109"/>
      <c r="J73" s="109"/>
      <c r="K73" s="109"/>
      <c r="L73" s="109"/>
      <c r="M73" s="109"/>
      <c r="N73" s="109"/>
      <c r="O73" s="109"/>
      <c r="P73" s="109"/>
      <c r="Q73" s="109"/>
      <c r="R73" s="109"/>
      <c r="S73" s="108"/>
      <c r="T73" s="108"/>
      <c r="U73" s="108"/>
      <c r="V73" s="108"/>
      <c r="W73" s="108"/>
      <c r="X73" s="108"/>
      <c r="Y73" s="108"/>
    </row>
    <row r="74" spans="1:29" s="116" customFormat="1">
      <c r="A74" s="123" t="s">
        <v>364</v>
      </c>
      <c r="B74" s="122"/>
      <c r="C74" s="122"/>
      <c r="D74" s="108"/>
      <c r="E74" s="108"/>
      <c r="F74" s="109"/>
      <c r="G74" s="109"/>
      <c r="H74" s="109"/>
      <c r="I74" s="109"/>
      <c r="J74" s="109"/>
      <c r="K74" s="109"/>
      <c r="L74" s="109"/>
      <c r="M74" s="109"/>
      <c r="N74" s="109"/>
      <c r="O74" s="109"/>
      <c r="P74" s="109"/>
      <c r="Q74" s="109"/>
      <c r="R74" s="109"/>
      <c r="S74" s="108"/>
      <c r="T74" s="108"/>
      <c r="U74" s="108"/>
      <c r="V74" s="108"/>
      <c r="W74" s="108"/>
      <c r="X74" s="108"/>
      <c r="Y74" s="108"/>
    </row>
    <row r="75" spans="1:29" s="116" customFormat="1">
      <c r="A75" s="123"/>
      <c r="B75" s="122"/>
      <c r="C75" s="122"/>
      <c r="F75" s="121"/>
      <c r="G75" s="121"/>
      <c r="H75" s="121"/>
      <c r="I75" s="121"/>
      <c r="J75" s="121"/>
      <c r="K75" s="121"/>
      <c r="L75" s="121"/>
      <c r="M75" s="121"/>
      <c r="N75" s="121"/>
      <c r="O75" s="121"/>
      <c r="P75" s="121"/>
      <c r="Q75" s="121"/>
      <c r="R75" s="121"/>
    </row>
    <row r="76" spans="1:29" s="108" customFormat="1">
      <c r="A76" s="110"/>
      <c r="C76" s="118"/>
      <c r="F76" s="109"/>
      <c r="G76" s="109"/>
      <c r="H76" s="109"/>
      <c r="I76" s="109"/>
      <c r="J76" s="109"/>
      <c r="K76" s="109"/>
      <c r="L76" s="109"/>
      <c r="M76" s="109"/>
      <c r="N76" s="109"/>
      <c r="O76" s="109"/>
      <c r="P76" s="109"/>
      <c r="Q76" s="109"/>
      <c r="R76" s="109"/>
    </row>
    <row r="77" spans="1:29" s="108" customFormat="1">
      <c r="A77" s="110"/>
      <c r="C77" s="118"/>
      <c r="F77" s="109"/>
      <c r="G77" s="109"/>
      <c r="H77" s="109"/>
      <c r="I77" s="109"/>
      <c r="J77" s="109"/>
      <c r="K77" s="109"/>
      <c r="L77" s="109"/>
      <c r="M77" s="109"/>
      <c r="N77" s="109"/>
      <c r="O77" s="109"/>
      <c r="P77" s="109"/>
      <c r="Q77" s="109"/>
      <c r="R77" s="109"/>
    </row>
    <row r="78" spans="1:29" s="114" customFormat="1">
      <c r="A78" s="115"/>
      <c r="F78" s="120"/>
      <c r="G78" s="120"/>
      <c r="H78" s="120"/>
      <c r="I78" s="120"/>
      <c r="J78" s="120"/>
      <c r="K78" s="120"/>
      <c r="L78" s="120"/>
      <c r="M78" s="120"/>
      <c r="N78" s="120"/>
      <c r="O78" s="120"/>
      <c r="P78" s="120"/>
      <c r="Q78" s="120"/>
      <c r="R78" s="120"/>
    </row>
    <row r="79" spans="1:29" s="108" customFormat="1">
      <c r="A79" s="110"/>
      <c r="C79" s="118"/>
      <c r="F79" s="119"/>
      <c r="G79" s="119"/>
      <c r="H79" s="119"/>
      <c r="I79" s="119"/>
      <c r="J79" s="119"/>
      <c r="K79" s="119"/>
      <c r="L79" s="119"/>
      <c r="M79" s="119"/>
      <c r="N79" s="119"/>
      <c r="O79" s="119"/>
      <c r="P79" s="119"/>
      <c r="Q79" s="119"/>
      <c r="R79" s="119"/>
      <c r="AB79" s="116" t="s">
        <v>363</v>
      </c>
    </row>
    <row r="80" spans="1:29" s="108" customFormat="1">
      <c r="A80" s="110"/>
      <c r="C80" s="118"/>
      <c r="F80" s="117">
        <f t="shared" ref="F80:Y80" si="1">F5</f>
        <v>1990</v>
      </c>
      <c r="G80" s="117">
        <f t="shared" si="1"/>
        <v>1991</v>
      </c>
      <c r="H80" s="117">
        <f t="shared" si="1"/>
        <v>1992</v>
      </c>
      <c r="I80" s="117">
        <f t="shared" si="1"/>
        <v>1993</v>
      </c>
      <c r="J80" s="117">
        <f t="shared" si="1"/>
        <v>1994</v>
      </c>
      <c r="K80" s="117">
        <f t="shared" si="1"/>
        <v>1995</v>
      </c>
      <c r="L80" s="117">
        <f t="shared" si="1"/>
        <v>1996</v>
      </c>
      <c r="M80" s="117">
        <f t="shared" si="1"/>
        <v>1997</v>
      </c>
      <c r="N80" s="117">
        <f t="shared" si="1"/>
        <v>1998</v>
      </c>
      <c r="O80" s="117">
        <f t="shared" si="1"/>
        <v>1999</v>
      </c>
      <c r="P80" s="117">
        <f t="shared" si="1"/>
        <v>2000</v>
      </c>
      <c r="Q80" s="117">
        <f t="shared" si="1"/>
        <v>2001</v>
      </c>
      <c r="R80" s="117">
        <f t="shared" si="1"/>
        <v>2002</v>
      </c>
      <c r="S80" s="117">
        <f t="shared" si="1"/>
        <v>2003</v>
      </c>
      <c r="T80" s="117">
        <f t="shared" si="1"/>
        <v>2004</v>
      </c>
      <c r="U80" s="117">
        <f t="shared" si="1"/>
        <v>2005</v>
      </c>
      <c r="V80" s="117">
        <f t="shared" si="1"/>
        <v>2006</v>
      </c>
      <c r="W80" s="117">
        <f t="shared" si="1"/>
        <v>2007</v>
      </c>
      <c r="X80" s="117">
        <f t="shared" si="1"/>
        <v>2008</v>
      </c>
      <c r="Y80" s="117">
        <f t="shared" si="1"/>
        <v>2009</v>
      </c>
      <c r="AB80" s="116">
        <v>2008</v>
      </c>
      <c r="AC80" s="116">
        <v>2009</v>
      </c>
    </row>
    <row r="81" spans="1:29" s="114" customFormat="1">
      <c r="A81" s="115"/>
      <c r="C81" s="108" t="s">
        <v>362</v>
      </c>
      <c r="E81" s="112" t="str">
        <f>C81</f>
        <v>Venting, flaring, &amp; unintentional leaks</v>
      </c>
      <c r="F81" s="109">
        <f t="shared" ref="F81:Y81" si="2">F37/1000</f>
        <v>2.9807179101097869</v>
      </c>
      <c r="G81" s="109">
        <f t="shared" si="2"/>
        <v>2.8566997525099098</v>
      </c>
      <c r="H81" s="109">
        <f t="shared" si="2"/>
        <v>3.0651295761014428</v>
      </c>
      <c r="I81" s="109">
        <f t="shared" si="2"/>
        <v>2.7853532995602102</v>
      </c>
      <c r="J81" s="109">
        <f t="shared" si="2"/>
        <v>3.7795055373755462</v>
      </c>
      <c r="K81" s="109">
        <f t="shared" si="2"/>
        <v>4.0762628222358854</v>
      </c>
      <c r="L81" s="109">
        <f t="shared" si="2"/>
        <v>4.5129462931585511</v>
      </c>
      <c r="M81" s="109">
        <f t="shared" si="2"/>
        <v>4.4672462151328203</v>
      </c>
      <c r="N81" s="109">
        <f t="shared" si="2"/>
        <v>4.6750142186210635</v>
      </c>
      <c r="O81" s="109">
        <f t="shared" si="2"/>
        <v>4.4912641494158851</v>
      </c>
      <c r="P81" s="109">
        <f t="shared" si="2"/>
        <v>4.6765890136737225</v>
      </c>
      <c r="Q81" s="109">
        <f t="shared" si="2"/>
        <v>4.9317065880944924</v>
      </c>
      <c r="R81" s="109">
        <f t="shared" si="2"/>
        <v>4.6640635585074373</v>
      </c>
      <c r="S81" s="109">
        <f t="shared" si="2"/>
        <v>4.6787211546678593</v>
      </c>
      <c r="T81" s="109">
        <f t="shared" si="2"/>
        <v>4.5800483276402746</v>
      </c>
      <c r="U81" s="109">
        <f t="shared" si="2"/>
        <v>4.6686334828728819</v>
      </c>
      <c r="V81" s="109">
        <f t="shared" si="2"/>
        <v>4.8439445897259272</v>
      </c>
      <c r="W81" s="109">
        <f t="shared" si="2"/>
        <v>5.0363721119228595</v>
      </c>
      <c r="X81" s="109">
        <f t="shared" si="2"/>
        <v>5.72745640526764</v>
      </c>
      <c r="Y81" s="109">
        <f t="shared" si="2"/>
        <v>5.5130408507308211</v>
      </c>
      <c r="AB81" s="113">
        <f t="shared" ref="AB81:AC84" si="3">X81/SUM(X$81:X$84)</f>
        <v>0.43672636286578442</v>
      </c>
      <c r="AC81" s="113">
        <f t="shared" si="3"/>
        <v>0.4149914505041945</v>
      </c>
    </row>
    <row r="82" spans="1:29" s="108" customFormat="1">
      <c r="A82" s="110"/>
      <c r="C82" s="108" t="s">
        <v>361</v>
      </c>
      <c r="E82" s="112" t="str">
        <f>C82</f>
        <v>Pipeline compressors</v>
      </c>
      <c r="F82" s="109">
        <f t="shared" ref="F82:Y82" si="4">F34/1000</f>
        <v>0.85588072097299994</v>
      </c>
      <c r="G82" s="109">
        <f t="shared" si="4"/>
        <v>1.1064386830419999</v>
      </c>
      <c r="H82" s="109">
        <f t="shared" si="4"/>
        <v>1.0494012267969999</v>
      </c>
      <c r="I82" s="109">
        <f t="shared" si="4"/>
        <v>1.1271369963990001</v>
      </c>
      <c r="J82" s="109">
        <f t="shared" si="4"/>
        <v>1.2514544797810001</v>
      </c>
      <c r="K82" s="109">
        <f t="shared" si="4"/>
        <v>1.385301639488</v>
      </c>
      <c r="L82" s="109">
        <f t="shared" si="4"/>
        <v>1.509487462322</v>
      </c>
      <c r="M82" s="109">
        <f t="shared" si="4"/>
        <v>1.4459884115980002</v>
      </c>
      <c r="N82" s="109">
        <f t="shared" si="4"/>
        <v>1.5773751768179998</v>
      </c>
      <c r="O82" s="109">
        <f t="shared" si="4"/>
        <v>1.4067279761149998</v>
      </c>
      <c r="P82" s="109">
        <f t="shared" si="4"/>
        <v>1.6545982036089999</v>
      </c>
      <c r="Q82" s="109">
        <f t="shared" si="4"/>
        <v>1.8647238885240001</v>
      </c>
      <c r="R82" s="109">
        <f t="shared" si="4"/>
        <v>1.359669318808</v>
      </c>
      <c r="S82" s="109">
        <f t="shared" si="4"/>
        <v>1.0622406562009998</v>
      </c>
      <c r="T82" s="109">
        <f t="shared" si="4"/>
        <v>1.1313815172719999</v>
      </c>
      <c r="U82" s="109">
        <f t="shared" si="4"/>
        <v>0.98943840320000009</v>
      </c>
      <c r="V82" s="109">
        <f t="shared" si="4"/>
        <v>0.77435866320000013</v>
      </c>
      <c r="W82" s="109">
        <f t="shared" si="4"/>
        <v>0.93312328600000005</v>
      </c>
      <c r="X82" s="109">
        <f t="shared" si="4"/>
        <v>0.89487812600000005</v>
      </c>
      <c r="Y82" s="109">
        <f t="shared" si="4"/>
        <v>0.86813400880000013</v>
      </c>
      <c r="AB82" s="113">
        <f t="shared" si="3"/>
        <v>6.8235677676514173E-2</v>
      </c>
      <c r="AC82" s="113">
        <f t="shared" si="3"/>
        <v>6.5348362418931702E-2</v>
      </c>
    </row>
    <row r="83" spans="1:29" s="108" customFormat="1">
      <c r="A83" s="110"/>
      <c r="C83" s="108" t="s">
        <v>360</v>
      </c>
      <c r="E83" s="112" t="str">
        <f>C83</f>
        <v>Production</v>
      </c>
      <c r="F83" s="109">
        <f t="shared" ref="F83:Y83" si="5">F11*$AA$11/1000</f>
        <v>3.1914380110155709</v>
      </c>
      <c r="G83" s="109">
        <f t="shared" si="5"/>
        <v>2.5932853193064758</v>
      </c>
      <c r="H83" s="109">
        <f t="shared" si="5"/>
        <v>1.6472329784874709</v>
      </c>
      <c r="I83" s="109">
        <f t="shared" si="5"/>
        <v>1.4158739173803827</v>
      </c>
      <c r="J83" s="109">
        <f t="shared" si="5"/>
        <v>2.2020582199697794</v>
      </c>
      <c r="K83" s="109">
        <f t="shared" si="5"/>
        <v>3.2030128536919387</v>
      </c>
      <c r="L83" s="109">
        <f t="shared" si="5"/>
        <v>3.9800388260104294</v>
      </c>
      <c r="M83" s="109">
        <f t="shared" si="5"/>
        <v>2.5280114323448624</v>
      </c>
      <c r="N83" s="109">
        <f t="shared" si="5"/>
        <v>3.166634344110788</v>
      </c>
      <c r="O83" s="109">
        <f t="shared" si="5"/>
        <v>4.5605902228329631</v>
      </c>
      <c r="P83" s="109">
        <f t="shared" si="5"/>
        <v>3.3969320010719652</v>
      </c>
      <c r="Q83" s="109">
        <f t="shared" si="5"/>
        <v>4.869072067847017</v>
      </c>
      <c r="R83" s="109">
        <f t="shared" si="5"/>
        <v>5.0379243628381953</v>
      </c>
      <c r="S83" s="109">
        <f t="shared" si="5"/>
        <v>5.4193905632437218</v>
      </c>
      <c r="T83" s="109">
        <f t="shared" si="5"/>
        <v>5.8779261320673077</v>
      </c>
      <c r="U83" s="109">
        <f t="shared" si="5"/>
        <v>5.1866412151446477</v>
      </c>
      <c r="V83" s="109">
        <f t="shared" si="5"/>
        <v>5.198773598565678</v>
      </c>
      <c r="W83" s="109">
        <f t="shared" si="5"/>
        <v>5.6005209510371889</v>
      </c>
      <c r="X83" s="109">
        <f t="shared" si="5"/>
        <v>5.5651307412018092</v>
      </c>
      <c r="Y83" s="109">
        <f t="shared" si="5"/>
        <v>6.0002847943774853</v>
      </c>
      <c r="AB83" s="113">
        <f t="shared" si="3"/>
        <v>0.42434880957667637</v>
      </c>
      <c r="AC83" s="113">
        <f t="shared" si="3"/>
        <v>0.4516684997766498</v>
      </c>
    </row>
    <row r="84" spans="1:29" s="108" customFormat="1">
      <c r="A84" s="110"/>
      <c r="C84" s="108" t="s">
        <v>359</v>
      </c>
      <c r="E84" s="112" t="str">
        <f>C84</f>
        <v>Extraction</v>
      </c>
      <c r="F84" s="109">
        <f t="shared" ref="F84:Y84" si="6">F12*$AA$12/1000</f>
        <v>0.16387637154863</v>
      </c>
      <c r="G84" s="109">
        <f t="shared" si="6"/>
        <v>0.14360393764626</v>
      </c>
      <c r="H84" s="109">
        <f t="shared" si="6"/>
        <v>0.14623028271473001</v>
      </c>
      <c r="I84" s="109">
        <f t="shared" si="6"/>
        <v>0.17440331088979</v>
      </c>
      <c r="J84" s="109">
        <f t="shared" si="6"/>
        <v>0.10348958879456499</v>
      </c>
      <c r="K84" s="109">
        <f t="shared" si="6"/>
        <v>8.6772787934865023E-2</v>
      </c>
      <c r="L84" s="109">
        <f t="shared" si="6"/>
        <v>0.23292293621327712</v>
      </c>
      <c r="M84" s="109">
        <f t="shared" si="6"/>
        <v>0.17369532415399996</v>
      </c>
      <c r="N84" s="109">
        <f t="shared" si="6"/>
        <v>0.17432012190773963</v>
      </c>
      <c r="O84" s="109">
        <f t="shared" si="6"/>
        <v>0.28758031443108445</v>
      </c>
      <c r="P84" s="109">
        <f t="shared" si="6"/>
        <v>0.36501135632504483</v>
      </c>
      <c r="Q84" s="109">
        <f t="shared" si="6"/>
        <v>0.12522697152327894</v>
      </c>
      <c r="R84" s="109">
        <f t="shared" si="6"/>
        <v>0.14132255790488102</v>
      </c>
      <c r="S84" s="109">
        <f t="shared" si="6"/>
        <v>8.7015728271753107E-2</v>
      </c>
      <c r="T84" s="109">
        <f t="shared" si="6"/>
        <v>0.49065665076117509</v>
      </c>
      <c r="U84" s="109">
        <f t="shared" si="6"/>
        <v>0.37077212894225153</v>
      </c>
      <c r="V84" s="109">
        <f t="shared" si="6"/>
        <v>0.77395084362531341</v>
      </c>
      <c r="W84" s="109">
        <f t="shared" si="6"/>
        <v>0.92175124373611161</v>
      </c>
      <c r="X84" s="109">
        <f t="shared" si="6"/>
        <v>0.92705423508730667</v>
      </c>
      <c r="Y84" s="109">
        <f t="shared" si="6"/>
        <v>0.90324981187163489</v>
      </c>
      <c r="AB84" s="113">
        <f t="shared" si="3"/>
        <v>7.0689149881025079E-2</v>
      </c>
      <c r="AC84" s="113">
        <f t="shared" si="3"/>
        <v>6.7991687300223938E-2</v>
      </c>
    </row>
    <row r="85" spans="1:29" s="108" customFormat="1">
      <c r="A85" s="110"/>
      <c r="C85" s="108" t="s">
        <v>358</v>
      </c>
      <c r="E85" s="112" t="str">
        <f>C85</f>
        <v>Total</v>
      </c>
      <c r="F85" s="109">
        <f t="shared" ref="F85:Y85" si="7">SUM(F81:F84)</f>
        <v>7.191913013646988</v>
      </c>
      <c r="G85" s="109">
        <f t="shared" si="7"/>
        <v>6.700027692504646</v>
      </c>
      <c r="H85" s="109">
        <f t="shared" si="7"/>
        <v>5.9079940641006443</v>
      </c>
      <c r="I85" s="109">
        <f t="shared" si="7"/>
        <v>5.502767524229383</v>
      </c>
      <c r="J85" s="109">
        <f t="shared" si="7"/>
        <v>7.3365078259208909</v>
      </c>
      <c r="K85" s="109">
        <f t="shared" si="7"/>
        <v>8.7513501033506884</v>
      </c>
      <c r="L85" s="109">
        <f t="shared" si="7"/>
        <v>10.235395517704259</v>
      </c>
      <c r="M85" s="109">
        <f t="shared" si="7"/>
        <v>8.6149413832296826</v>
      </c>
      <c r="N85" s="109">
        <f t="shared" si="7"/>
        <v>9.5933438614575905</v>
      </c>
      <c r="O85" s="109">
        <f t="shared" si="7"/>
        <v>10.746162662794932</v>
      </c>
      <c r="P85" s="109">
        <f t="shared" si="7"/>
        <v>10.093130574679734</v>
      </c>
      <c r="Q85" s="109">
        <f t="shared" si="7"/>
        <v>11.790729515988788</v>
      </c>
      <c r="R85" s="109">
        <f t="shared" si="7"/>
        <v>11.202979798058513</v>
      </c>
      <c r="S85" s="109">
        <f t="shared" si="7"/>
        <v>11.247368102384334</v>
      </c>
      <c r="T85" s="109">
        <f t="shared" si="7"/>
        <v>12.080012627740757</v>
      </c>
      <c r="U85" s="109">
        <f t="shared" si="7"/>
        <v>11.21548523015978</v>
      </c>
      <c r="V85" s="109">
        <f t="shared" si="7"/>
        <v>11.591027695116919</v>
      </c>
      <c r="W85" s="109">
        <f t="shared" si="7"/>
        <v>12.49176759269616</v>
      </c>
      <c r="X85" s="109">
        <f t="shared" si="7"/>
        <v>13.114519507556755</v>
      </c>
      <c r="Y85" s="109">
        <f t="shared" si="7"/>
        <v>13.284709465779942</v>
      </c>
    </row>
    <row r="86" spans="1:29" s="108" customFormat="1">
      <c r="A86" s="110"/>
      <c r="F86" s="109"/>
      <c r="G86" s="109"/>
      <c r="H86" s="109"/>
      <c r="I86" s="109"/>
      <c r="J86" s="109"/>
      <c r="K86" s="109"/>
      <c r="L86" s="109"/>
      <c r="M86" s="109"/>
      <c r="N86" s="109"/>
      <c r="O86" s="109"/>
      <c r="P86" s="109"/>
      <c r="Q86" s="109"/>
      <c r="R86" s="109"/>
    </row>
    <row r="87" spans="1:29" s="108" customFormat="1">
      <c r="A87" s="110"/>
      <c r="F87" s="111">
        <f t="shared" ref="F87:Y87" si="8">F81/F85</f>
        <v>0.41445411039506969</v>
      </c>
      <c r="G87" s="111">
        <f t="shared" si="8"/>
        <v>0.42637133510742259</v>
      </c>
      <c r="H87" s="111">
        <f t="shared" si="8"/>
        <v>0.51881053752684125</v>
      </c>
      <c r="I87" s="111">
        <f t="shared" si="8"/>
        <v>0.50617317327979905</v>
      </c>
      <c r="J87" s="111">
        <f t="shared" si="8"/>
        <v>0.51516411173474574</v>
      </c>
      <c r="K87" s="111">
        <f t="shared" si="8"/>
        <v>0.46578673851422986</v>
      </c>
      <c r="L87" s="111">
        <f t="shared" si="8"/>
        <v>0.44091567202776544</v>
      </c>
      <c r="M87" s="111">
        <f t="shared" si="8"/>
        <v>0.51854632741077111</v>
      </c>
      <c r="N87" s="111">
        <f t="shared" si="8"/>
        <v>0.48731852898586214</v>
      </c>
      <c r="O87" s="111">
        <f t="shared" si="8"/>
        <v>0.41794120285982794</v>
      </c>
      <c r="P87" s="111">
        <f t="shared" si="8"/>
        <v>0.46334375435563174</v>
      </c>
      <c r="Q87" s="111">
        <f t="shared" si="8"/>
        <v>0.41826984338898321</v>
      </c>
      <c r="R87" s="111">
        <f t="shared" si="8"/>
        <v>0.41632348201821484</v>
      </c>
      <c r="S87" s="111">
        <f t="shared" si="8"/>
        <v>0.41598364275781241</v>
      </c>
      <c r="T87" s="111">
        <f t="shared" si="8"/>
        <v>0.37914267714609584</v>
      </c>
      <c r="U87" s="111">
        <f t="shared" si="8"/>
        <v>0.41626674076645104</v>
      </c>
      <c r="V87" s="111">
        <f t="shared" si="8"/>
        <v>0.41790466877812649</v>
      </c>
      <c r="W87" s="111">
        <f t="shared" si="8"/>
        <v>0.40317529721475026</v>
      </c>
      <c r="X87" s="111">
        <f t="shared" si="8"/>
        <v>0.43672636286578442</v>
      </c>
      <c r="Y87" s="111">
        <f t="shared" si="8"/>
        <v>0.4149914505041945</v>
      </c>
    </row>
    <row r="88" spans="1:29" s="108" customFormat="1">
      <c r="A88" s="110"/>
      <c r="F88" s="109"/>
      <c r="G88" s="109"/>
      <c r="H88" s="109"/>
      <c r="I88" s="109"/>
      <c r="J88" s="109"/>
      <c r="K88" s="109"/>
      <c r="L88" s="109"/>
      <c r="M88" s="109"/>
      <c r="N88" s="109"/>
      <c r="O88" s="109"/>
      <c r="P88" s="109"/>
      <c r="Q88" s="109"/>
    </row>
  </sheetData>
  <mergeCells count="2">
    <mergeCell ref="H2:N3"/>
    <mergeCell ref="F6:Q6"/>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11"/>
  <sheetViews>
    <sheetView showGridLines="0" topLeftCell="A3" workbookViewId="0">
      <selection activeCell="C42" sqref="C42"/>
    </sheetView>
  </sheetViews>
  <sheetFormatPr baseColWidth="10" defaultColWidth="10.1640625" defaultRowHeight="13" x14ac:dyDescent="0"/>
  <cols>
    <col min="1" max="1" width="3.83203125" style="6" customWidth="1"/>
    <col min="2" max="2" width="73.6640625" style="6" customWidth="1"/>
    <col min="3" max="3" width="19.1640625" style="6" customWidth="1"/>
    <col min="4" max="4" width="25.6640625" style="6" customWidth="1"/>
    <col min="5" max="5" width="14.5" style="6" customWidth="1"/>
    <col min="6" max="7" width="10.83203125" style="6" bestFit="1" customWidth="1"/>
    <col min="8" max="8" width="11.83203125" style="6" bestFit="1" customWidth="1"/>
    <col min="9" max="9" width="10.1640625" style="6" bestFit="1" customWidth="1"/>
    <col min="10" max="10" width="9.83203125" style="6" bestFit="1" customWidth="1"/>
    <col min="11" max="12" width="9.5" style="6" bestFit="1" customWidth="1"/>
    <col min="13" max="13" width="10.83203125" style="6" bestFit="1" customWidth="1"/>
    <col min="14" max="14" width="11.83203125" style="6" bestFit="1" customWidth="1"/>
    <col min="15" max="16384" width="10.1640625" style="6"/>
  </cols>
  <sheetData>
    <row r="1" spans="1:8" ht="18">
      <c r="A1" s="4"/>
      <c r="B1" s="4" t="s">
        <v>20</v>
      </c>
      <c r="C1" s="5"/>
      <c r="D1" s="5"/>
      <c r="E1" s="5"/>
      <c r="F1" s="5"/>
      <c r="G1" s="5"/>
      <c r="H1" s="5"/>
    </row>
    <row r="2" spans="1:8">
      <c r="A2" s="7"/>
      <c r="B2" s="7"/>
      <c r="C2" s="7"/>
      <c r="D2" s="7"/>
      <c r="E2" s="7"/>
      <c r="F2" s="7"/>
      <c r="G2" s="7"/>
      <c r="H2" s="7"/>
    </row>
    <row r="3" spans="1:8" ht="15">
      <c r="A3" s="8"/>
      <c r="B3" s="5"/>
      <c r="C3" s="5"/>
      <c r="D3" s="5"/>
      <c r="E3" s="5"/>
      <c r="F3" s="5"/>
      <c r="G3" s="5"/>
      <c r="H3" s="5"/>
    </row>
    <row r="4" spans="1:8" ht="15">
      <c r="A4" s="9"/>
      <c r="B4" s="5"/>
      <c r="C4" s="5"/>
      <c r="D4" s="5"/>
      <c r="E4" s="5"/>
      <c r="F4" s="5"/>
      <c r="G4" s="5"/>
      <c r="H4" s="5"/>
    </row>
    <row r="5" spans="1:8">
      <c r="A5" s="10"/>
      <c r="B5" s="10"/>
      <c r="C5" s="10"/>
      <c r="D5" s="10"/>
      <c r="E5" s="10"/>
      <c r="F5" s="10"/>
      <c r="G5" s="10"/>
      <c r="H5" s="10"/>
    </row>
    <row r="14" spans="1:8">
      <c r="A14" s="11"/>
      <c r="B14" s="11" t="s">
        <v>21</v>
      </c>
      <c r="C14" s="11" t="s">
        <v>22</v>
      </c>
      <c r="D14" s="11" t="s">
        <v>23</v>
      </c>
      <c r="E14" s="11" t="s">
        <v>24</v>
      </c>
      <c r="F14" s="11" t="s">
        <v>25</v>
      </c>
      <c r="G14" s="12"/>
      <c r="H14" s="12"/>
    </row>
    <row r="15" spans="1:8">
      <c r="A15" s="13"/>
      <c r="B15" s="13"/>
      <c r="C15" s="13"/>
      <c r="D15" s="13"/>
      <c r="E15" s="13"/>
      <c r="F15" s="13"/>
      <c r="G15" s="13"/>
      <c r="H15" s="13"/>
    </row>
    <row r="16" spans="1:8" ht="17">
      <c r="A16" s="14" t="s">
        <v>26</v>
      </c>
      <c r="B16" s="13"/>
      <c r="C16" s="13"/>
      <c r="D16" s="13"/>
      <c r="E16" s="13"/>
      <c r="F16" s="13"/>
      <c r="G16" s="13"/>
      <c r="H16" s="13"/>
    </row>
    <row r="17" spans="1:8">
      <c r="A17" s="13"/>
      <c r="B17" s="15" t="s">
        <v>27</v>
      </c>
      <c r="C17" s="16">
        <v>21</v>
      </c>
      <c r="D17" s="17" t="s">
        <v>28</v>
      </c>
      <c r="E17" s="18" t="s">
        <v>29</v>
      </c>
      <c r="F17" s="13"/>
      <c r="G17" s="13"/>
      <c r="H17" s="13"/>
    </row>
    <row r="18" spans="1:8">
      <c r="A18" s="13"/>
      <c r="B18" s="19" t="s">
        <v>30</v>
      </c>
      <c r="C18" s="20">
        <v>310</v>
      </c>
      <c r="D18" s="17" t="s">
        <v>28</v>
      </c>
      <c r="E18" s="18" t="s">
        <v>29</v>
      </c>
      <c r="F18" s="13"/>
      <c r="G18" s="13"/>
      <c r="H18" s="13"/>
    </row>
    <row r="19" spans="1:8">
      <c r="A19" s="13"/>
      <c r="B19" s="19"/>
      <c r="C19" s="13"/>
      <c r="D19" s="13"/>
      <c r="E19" s="13"/>
      <c r="F19" s="13"/>
      <c r="G19" s="13"/>
      <c r="H19" s="13"/>
    </row>
    <row r="20" spans="1:8" ht="17">
      <c r="A20" s="14" t="s">
        <v>31</v>
      </c>
      <c r="B20" s="19"/>
      <c r="C20" s="13"/>
      <c r="D20" s="13"/>
      <c r="E20" s="13"/>
      <c r="F20" s="13"/>
      <c r="G20" s="13"/>
      <c r="H20" s="13"/>
    </row>
    <row r="21" spans="1:8">
      <c r="A21" s="13"/>
      <c r="B21" s="19" t="s">
        <v>32</v>
      </c>
      <c r="C21" s="21">
        <f>2663+$C$17*0.133+$C$18*0.4</f>
        <v>2789.7930000000001</v>
      </c>
      <c r="D21" s="17" t="s">
        <v>33</v>
      </c>
      <c r="E21" s="18" t="s">
        <v>34</v>
      </c>
      <c r="F21" s="13"/>
      <c r="G21" s="13"/>
      <c r="H21" s="13"/>
    </row>
    <row r="22" spans="1:8">
      <c r="A22" s="13"/>
      <c r="B22" s="19" t="s">
        <v>35</v>
      </c>
      <c r="C22" s="21">
        <f>1879+C17*0.037+C18*0.033</f>
        <v>1890.0070000000001</v>
      </c>
      <c r="D22" s="17" t="s">
        <v>36</v>
      </c>
      <c r="E22" s="18" t="s">
        <v>34</v>
      </c>
      <c r="F22" s="13"/>
      <c r="G22" s="13"/>
      <c r="H22" s="13"/>
    </row>
    <row r="23" spans="1:8">
      <c r="A23" s="13"/>
      <c r="B23" s="19" t="s">
        <v>37</v>
      </c>
      <c r="C23" s="21">
        <f>1510+C17*0.027+C18*0.108</f>
        <v>1544.047</v>
      </c>
      <c r="D23" s="17" t="s">
        <v>33</v>
      </c>
      <c r="E23" s="18" t="s">
        <v>34</v>
      </c>
      <c r="F23" s="13"/>
      <c r="G23" s="13"/>
      <c r="H23" s="13"/>
    </row>
    <row r="24" spans="1:8">
      <c r="A24" s="13"/>
      <c r="B24" s="19"/>
      <c r="C24" s="21"/>
      <c r="D24" s="17"/>
      <c r="E24" s="15"/>
      <c r="F24" s="13"/>
      <c r="G24" s="13"/>
      <c r="H24" s="13"/>
    </row>
    <row r="25" spans="1:8">
      <c r="A25" s="13"/>
      <c r="B25" s="19" t="s">
        <v>38</v>
      </c>
      <c r="C25" s="21">
        <f>C26+C27*C17+C28*C18</f>
        <v>1971.4</v>
      </c>
      <c r="D25" s="17" t="s">
        <v>36</v>
      </c>
      <c r="E25" s="15" t="s">
        <v>39</v>
      </c>
      <c r="F25" s="13"/>
      <c r="G25" s="13"/>
      <c r="H25" s="13"/>
    </row>
    <row r="26" spans="1:8">
      <c r="A26" s="13"/>
      <c r="B26" s="19" t="s">
        <v>40</v>
      </c>
      <c r="C26" s="22">
        <v>1916</v>
      </c>
      <c r="D26" s="17" t="s">
        <v>41</v>
      </c>
      <c r="E26" s="15" t="s">
        <v>39</v>
      </c>
      <c r="F26" s="13"/>
      <c r="G26" s="13"/>
      <c r="H26" s="13"/>
    </row>
    <row r="27" spans="1:8">
      <c r="A27" s="13"/>
      <c r="B27" s="19" t="s">
        <v>42</v>
      </c>
      <c r="C27" s="23">
        <v>1.9</v>
      </c>
      <c r="D27" s="17" t="s">
        <v>43</v>
      </c>
      <c r="E27" s="15" t="s">
        <v>39</v>
      </c>
      <c r="F27" s="13"/>
      <c r="G27" s="13"/>
      <c r="H27" s="13"/>
    </row>
    <row r="28" spans="1:8">
      <c r="A28" s="13"/>
      <c r="B28" s="19" t="s">
        <v>44</v>
      </c>
      <c r="C28" s="24">
        <v>0.05</v>
      </c>
      <c r="D28" s="17" t="s">
        <v>45</v>
      </c>
      <c r="E28" s="15" t="s">
        <v>39</v>
      </c>
      <c r="F28" s="13"/>
      <c r="G28" s="13"/>
      <c r="H28" s="13"/>
    </row>
    <row r="30" spans="1:8">
      <c r="B30" s="19" t="s">
        <v>46</v>
      </c>
      <c r="C30" s="21">
        <f>C31+C32*C22+C33*C23</f>
        <v>2036.88381</v>
      </c>
      <c r="D30" s="17" t="s">
        <v>36</v>
      </c>
      <c r="E30" s="15" t="s">
        <v>39</v>
      </c>
    </row>
    <row r="31" spans="1:8">
      <c r="B31" s="19" t="s">
        <v>47</v>
      </c>
      <c r="C31" s="22">
        <v>1916</v>
      </c>
      <c r="D31" s="17" t="s">
        <v>41</v>
      </c>
      <c r="E31" s="15" t="s">
        <v>39</v>
      </c>
    </row>
    <row r="32" spans="1:8">
      <c r="B32" s="19" t="s">
        <v>48</v>
      </c>
      <c r="C32" s="25">
        <v>3.6999999999999998E-2</v>
      </c>
      <c r="D32" s="17" t="s">
        <v>43</v>
      </c>
      <c r="E32" s="15" t="s">
        <v>39</v>
      </c>
    </row>
    <row r="33" spans="1:8">
      <c r="B33" s="19" t="s">
        <v>49</v>
      </c>
      <c r="C33" s="25">
        <v>3.3000000000000002E-2</v>
      </c>
      <c r="D33" s="17" t="s">
        <v>45</v>
      </c>
      <c r="E33" s="15" t="s">
        <v>39</v>
      </c>
    </row>
    <row r="37" spans="1:8" ht="17">
      <c r="A37" s="14" t="s">
        <v>50</v>
      </c>
    </row>
    <row r="39" spans="1:8">
      <c r="A39" s="13"/>
      <c r="B39" s="26" t="s">
        <v>51</v>
      </c>
      <c r="C39" s="21"/>
      <c r="D39" s="17"/>
      <c r="E39" s="15"/>
      <c r="F39" s="13"/>
      <c r="G39" s="13"/>
      <c r="H39" s="13"/>
    </row>
    <row r="40" spans="1:8">
      <c r="A40" s="13"/>
      <c r="B40" s="27" t="str">
        <f>B169</f>
        <v>Energy Content - Natural Gas</v>
      </c>
      <c r="C40" s="27">
        <f>C169</f>
        <v>3.8260000000000002E-2</v>
      </c>
      <c r="D40" s="27" t="str">
        <f>D169</f>
        <v>MJ / litre</v>
      </c>
      <c r="E40" s="27" t="str">
        <f>E169</f>
        <v>StatsCan, 2005. Report on Energy Supply and Demand in Canada.</v>
      </c>
      <c r="F40" s="13"/>
      <c r="G40" s="13"/>
      <c r="H40" s="13"/>
    </row>
    <row r="41" spans="1:8">
      <c r="A41" s="13"/>
      <c r="B41" s="27" t="str">
        <f>B40</f>
        <v>Energy Content - Natural Gas</v>
      </c>
      <c r="C41" s="21">
        <f>C40*1000</f>
        <v>38.260000000000005</v>
      </c>
      <c r="D41" s="17" t="s">
        <v>52</v>
      </c>
      <c r="E41" s="28" t="str">
        <f>E40</f>
        <v>StatsCan, 2005. Report on Energy Supply and Demand in Canada.</v>
      </c>
      <c r="F41" s="13"/>
      <c r="G41" s="13"/>
      <c r="H41" s="13"/>
    </row>
    <row r="42" spans="1:8">
      <c r="A42" s="13"/>
      <c r="B42" s="19" t="str">
        <f>B86</f>
        <v>Convert - MJ and GWh</v>
      </c>
      <c r="C42" s="19">
        <f>C86</f>
        <v>3600000</v>
      </c>
      <c r="D42" s="19" t="str">
        <f>D86</f>
        <v>MJ/GWh</v>
      </c>
      <c r="E42" s="19" t="str">
        <f>E86</f>
        <v>www.onlinconversion.com</v>
      </c>
      <c r="F42" s="13"/>
      <c r="G42" s="13"/>
      <c r="H42" s="13"/>
    </row>
    <row r="43" spans="1:8">
      <c r="A43" s="13"/>
      <c r="B43" s="19" t="s">
        <v>53</v>
      </c>
      <c r="C43" s="22">
        <f>C25/C41*C42</f>
        <v>185495033.97804493</v>
      </c>
      <c r="D43" s="17" t="s">
        <v>54</v>
      </c>
      <c r="E43" s="15"/>
      <c r="F43" s="13"/>
      <c r="G43" s="13"/>
      <c r="H43" s="13"/>
    </row>
    <row r="44" spans="1:8">
      <c r="A44" s="13"/>
      <c r="B44" s="19" t="s">
        <v>53</v>
      </c>
      <c r="C44" s="29">
        <f>C43/1000/1000</f>
        <v>185.49503397804492</v>
      </c>
      <c r="D44" s="17" t="s">
        <v>55</v>
      </c>
      <c r="E44" s="15" t="s">
        <v>56</v>
      </c>
      <c r="F44" s="13"/>
      <c r="G44" s="13"/>
      <c r="H44" s="13"/>
    </row>
    <row r="45" spans="1:8">
      <c r="A45" s="13"/>
      <c r="B45" s="19" t="s">
        <v>57</v>
      </c>
      <c r="C45" s="30">
        <v>0.3</v>
      </c>
      <c r="D45" s="17"/>
      <c r="E45" s="15"/>
      <c r="F45" s="13"/>
      <c r="G45" s="13"/>
      <c r="H45" s="13"/>
    </row>
    <row r="46" spans="1:8">
      <c r="A46" s="13"/>
      <c r="B46" s="19" t="s">
        <v>58</v>
      </c>
      <c r="C46" s="22">
        <f>C44/C45</f>
        <v>618.31677992681637</v>
      </c>
      <c r="D46" s="17" t="str">
        <f>D44</f>
        <v>TCO2e/GWh</v>
      </c>
      <c r="E46" s="15" t="s">
        <v>56</v>
      </c>
      <c r="F46" s="13"/>
      <c r="G46" s="13"/>
      <c r="H46" s="13"/>
    </row>
    <row r="47" spans="1:8">
      <c r="A47" s="13"/>
      <c r="B47" s="19"/>
      <c r="C47" s="21"/>
      <c r="D47" s="17"/>
      <c r="E47" s="15"/>
      <c r="F47" s="13"/>
      <c r="G47" s="13"/>
      <c r="H47" s="13"/>
    </row>
    <row r="48" spans="1:8">
      <c r="A48" s="13"/>
      <c r="B48" s="26" t="s">
        <v>59</v>
      </c>
      <c r="C48" s="21"/>
      <c r="D48" s="17"/>
      <c r="E48" s="15"/>
      <c r="F48" s="13"/>
      <c r="G48" s="13"/>
      <c r="H48" s="13"/>
    </row>
    <row r="49" spans="1:8">
      <c r="A49" s="13"/>
      <c r="B49" s="19" t="str">
        <f>B21</f>
        <v>Combustion - Diesel</v>
      </c>
      <c r="C49" s="19">
        <f>C21</f>
        <v>2789.7930000000001</v>
      </c>
      <c r="D49" s="19" t="str">
        <f>D21</f>
        <v>gCO2e / L</v>
      </c>
      <c r="E49" s="19" t="str">
        <f>E21</f>
        <v xml:space="preserve">Environment Canada. 2011. National Inventory Report 1990-2009. Greenhouse Gas Sources and Sinks in Canada. Annex 8. </v>
      </c>
      <c r="F49" s="13"/>
      <c r="G49" s="13"/>
      <c r="H49" s="13"/>
    </row>
    <row r="50" spans="1:8">
      <c r="A50" s="13"/>
      <c r="B50" s="27" t="str">
        <f>B157</f>
        <v>Energy Content - Diesel</v>
      </c>
      <c r="C50" s="27">
        <f>C157</f>
        <v>38.299999999999997</v>
      </c>
      <c r="D50" s="27" t="str">
        <f>D157</f>
        <v>MJ / litre</v>
      </c>
      <c r="E50" s="27" t="str">
        <f>E157</f>
        <v>StatsCan, 2005. Report on Energy Supply and Demand in Canada.</v>
      </c>
      <c r="F50" s="13"/>
      <c r="G50" s="13"/>
      <c r="H50" s="13"/>
    </row>
    <row r="51" spans="1:8">
      <c r="A51" s="13"/>
      <c r="B51" s="19" t="str">
        <f>B86</f>
        <v>Convert - MJ and GWh</v>
      </c>
      <c r="C51" s="19">
        <f>C86</f>
        <v>3600000</v>
      </c>
      <c r="D51" s="19" t="str">
        <f>D86</f>
        <v>MJ/GWh</v>
      </c>
      <c r="E51" s="19" t="str">
        <f>E86</f>
        <v>www.onlinconversion.com</v>
      </c>
      <c r="F51" s="13"/>
      <c r="G51" s="13"/>
      <c r="H51" s="13"/>
    </row>
    <row r="52" spans="1:8">
      <c r="A52" s="13"/>
      <c r="B52" s="19" t="s">
        <v>60</v>
      </c>
      <c r="C52" s="21">
        <f>C49/C50*C51</f>
        <v>262225973.89033943</v>
      </c>
      <c r="D52" s="17" t="s">
        <v>61</v>
      </c>
      <c r="E52" s="15"/>
      <c r="F52" s="13"/>
      <c r="G52" s="13"/>
      <c r="H52" s="13"/>
    </row>
    <row r="53" spans="1:8">
      <c r="A53" s="13"/>
      <c r="B53" s="19" t="s">
        <v>60</v>
      </c>
      <c r="C53" s="21">
        <f>C52/1000/1000</f>
        <v>262.22597389033945</v>
      </c>
      <c r="D53" s="17" t="s">
        <v>62</v>
      </c>
      <c r="E53" s="15" t="s">
        <v>56</v>
      </c>
      <c r="F53" s="13"/>
      <c r="G53" s="13"/>
      <c r="H53" s="13"/>
    </row>
    <row r="54" spans="1:8">
      <c r="A54" s="13"/>
      <c r="B54" s="19" t="s">
        <v>63</v>
      </c>
      <c r="C54" s="31">
        <v>0.35</v>
      </c>
      <c r="D54" s="17"/>
      <c r="E54" s="15"/>
      <c r="F54" s="13"/>
      <c r="G54" s="13"/>
      <c r="H54" s="13"/>
    </row>
    <row r="55" spans="1:8">
      <c r="A55" s="13"/>
      <c r="B55" s="19" t="s">
        <v>64</v>
      </c>
      <c r="C55" s="21">
        <f>C53/C54</f>
        <v>749.2170682581127</v>
      </c>
      <c r="D55" s="17" t="s">
        <v>62</v>
      </c>
      <c r="E55" s="15" t="s">
        <v>56</v>
      </c>
      <c r="F55" s="13"/>
      <c r="G55" s="13"/>
      <c r="H55" s="13"/>
    </row>
    <row r="56" spans="1:8">
      <c r="A56" s="13"/>
      <c r="B56" s="19"/>
      <c r="C56" s="21"/>
      <c r="D56" s="17"/>
      <c r="E56" s="15"/>
      <c r="F56" s="13"/>
      <c r="G56" s="13"/>
      <c r="H56" s="13"/>
    </row>
    <row r="57" spans="1:8">
      <c r="A57" s="13"/>
      <c r="B57" s="19"/>
      <c r="C57" s="21"/>
      <c r="D57" s="17"/>
      <c r="E57" s="15"/>
      <c r="F57" s="13"/>
      <c r="G57" s="13"/>
      <c r="H57" s="13"/>
    </row>
    <row r="58" spans="1:8">
      <c r="A58" s="13"/>
      <c r="B58" s="19"/>
      <c r="C58" s="21"/>
      <c r="D58" s="17"/>
      <c r="E58" s="15"/>
      <c r="F58" s="13"/>
      <c r="G58" s="13"/>
      <c r="H58" s="13"/>
    </row>
    <row r="59" spans="1:8" ht="17">
      <c r="A59" s="14" t="s">
        <v>65</v>
      </c>
      <c r="B59" s="19"/>
      <c r="C59" s="21"/>
      <c r="D59" s="17"/>
      <c r="E59" s="15"/>
      <c r="F59" s="13"/>
      <c r="G59" s="13"/>
      <c r="H59" s="13"/>
    </row>
    <row r="60" spans="1:8">
      <c r="A60" s="13"/>
      <c r="B60" s="32" t="s">
        <v>66</v>
      </c>
      <c r="C60" s="21">
        <v>32</v>
      </c>
      <c r="D60" s="17" t="s">
        <v>67</v>
      </c>
      <c r="E60" s="15" t="s">
        <v>68</v>
      </c>
      <c r="F60" s="13"/>
      <c r="G60" s="13"/>
      <c r="H60" s="13"/>
    </row>
    <row r="61" spans="1:8">
      <c r="A61" s="13"/>
      <c r="B61" s="32" t="s">
        <v>69</v>
      </c>
      <c r="C61" s="21">
        <v>24</v>
      </c>
      <c r="D61" s="17" t="s">
        <v>70</v>
      </c>
      <c r="E61" s="15" t="s">
        <v>68</v>
      </c>
      <c r="F61" s="13"/>
      <c r="G61" s="13"/>
      <c r="H61" s="13"/>
    </row>
    <row r="62" spans="1:8">
      <c r="A62" s="13"/>
      <c r="B62" s="32" t="s">
        <v>71</v>
      </c>
      <c r="C62" s="21">
        <v>6.0000000000000001E-3</v>
      </c>
      <c r="D62" s="17" t="s">
        <v>72</v>
      </c>
      <c r="E62" s="15" t="s">
        <v>68</v>
      </c>
      <c r="F62" s="13"/>
      <c r="G62" s="13"/>
      <c r="H62" s="13"/>
    </row>
    <row r="63" spans="1:8">
      <c r="A63" s="13"/>
      <c r="B63" s="32" t="s">
        <v>73</v>
      </c>
      <c r="C63" s="21">
        <v>5.9999999999999995E-4</v>
      </c>
      <c r="D63" s="17" t="s">
        <v>74</v>
      </c>
      <c r="E63" s="15" t="s">
        <v>68</v>
      </c>
      <c r="F63" s="13"/>
      <c r="G63" s="13"/>
      <c r="H63" s="13"/>
    </row>
    <row r="64" spans="1:8">
      <c r="A64" s="13"/>
      <c r="B64" s="32" t="s">
        <v>66</v>
      </c>
      <c r="C64" s="22">
        <f>C60*C87/1000/1000</f>
        <v>32</v>
      </c>
      <c r="D64" s="17" t="s">
        <v>55</v>
      </c>
      <c r="E64" s="15" t="s">
        <v>68</v>
      </c>
      <c r="F64" s="13"/>
      <c r="G64" s="13"/>
      <c r="H64" s="13"/>
    </row>
    <row r="65" spans="1:11">
      <c r="A65" s="13"/>
      <c r="B65" s="19"/>
      <c r="C65" s="21"/>
      <c r="D65" s="17"/>
      <c r="E65" s="15"/>
      <c r="F65" s="13"/>
      <c r="G65" s="13"/>
      <c r="H65" s="13"/>
    </row>
    <row r="66" spans="1:11">
      <c r="A66" s="13"/>
      <c r="B66" s="19"/>
      <c r="C66" s="21"/>
      <c r="D66" s="17"/>
      <c r="E66" s="15"/>
      <c r="F66" s="13"/>
      <c r="G66" s="13"/>
      <c r="H66" s="13"/>
    </row>
    <row r="67" spans="1:11">
      <c r="A67" s="13"/>
      <c r="B67" s="19"/>
      <c r="C67" s="21"/>
      <c r="D67" s="17"/>
      <c r="E67" s="15"/>
      <c r="F67" s="13"/>
      <c r="G67" s="13"/>
      <c r="H67" s="13"/>
    </row>
    <row r="68" spans="1:11">
      <c r="A68" s="13"/>
      <c r="B68" s="19"/>
      <c r="C68" s="21"/>
      <c r="D68" s="17"/>
      <c r="E68" s="15"/>
      <c r="F68" s="13"/>
      <c r="G68" s="13"/>
      <c r="H68" s="13"/>
    </row>
    <row r="69" spans="1:11">
      <c r="A69" s="13"/>
      <c r="B69" s="19"/>
      <c r="C69" s="13"/>
      <c r="D69" s="13"/>
      <c r="E69" s="15"/>
      <c r="F69" s="13"/>
      <c r="G69" s="13"/>
      <c r="H69" s="13"/>
    </row>
    <row r="70" spans="1:11" ht="17">
      <c r="A70" s="14" t="s">
        <v>75</v>
      </c>
      <c r="B70" s="33"/>
      <c r="C70" s="34"/>
      <c r="D70" s="35"/>
      <c r="E70" s="36"/>
    </row>
    <row r="71" spans="1:11">
      <c r="A71" s="13"/>
      <c r="B71" s="37"/>
      <c r="C71" s="37"/>
      <c r="D71" s="37"/>
      <c r="E71" s="37"/>
      <c r="G71" s="38"/>
      <c r="H71" s="38"/>
      <c r="I71" s="38"/>
      <c r="J71" s="38"/>
      <c r="K71" s="38"/>
    </row>
    <row r="72" spans="1:11">
      <c r="A72" s="13"/>
      <c r="B72" s="33"/>
      <c r="C72" s="39"/>
      <c r="D72" s="39"/>
      <c r="E72" s="15"/>
      <c r="G72" s="40"/>
      <c r="H72" s="40"/>
      <c r="I72" s="40"/>
      <c r="J72" s="40"/>
      <c r="K72" s="40"/>
    </row>
    <row r="73" spans="1:11">
      <c r="A73" s="13"/>
      <c r="B73" s="41" t="s">
        <v>76</v>
      </c>
      <c r="C73" s="39"/>
      <c r="D73" s="39"/>
      <c r="E73" s="15"/>
      <c r="G73" s="40"/>
      <c r="H73" s="40"/>
      <c r="I73" s="40"/>
      <c r="J73" s="40"/>
      <c r="K73" s="40"/>
    </row>
    <row r="74" spans="1:11">
      <c r="A74" s="13"/>
      <c r="B74" s="33" t="s">
        <v>77</v>
      </c>
      <c r="C74" s="42">
        <v>1055.0559000000001</v>
      </c>
      <c r="D74" s="43" t="s">
        <v>78</v>
      </c>
      <c r="E74" s="44" t="s">
        <v>79</v>
      </c>
      <c r="G74" s="40"/>
      <c r="H74" s="40"/>
      <c r="I74" s="40"/>
      <c r="J74" s="40"/>
      <c r="K74" s="40"/>
    </row>
    <row r="75" spans="1:11">
      <c r="A75" s="13"/>
      <c r="B75" s="33" t="s">
        <v>80</v>
      </c>
      <c r="C75" s="45">
        <f>C74/1000000</f>
        <v>1.0550559000000001E-3</v>
      </c>
      <c r="D75" s="43" t="s">
        <v>81</v>
      </c>
      <c r="E75" s="44" t="s">
        <v>79</v>
      </c>
      <c r="G75" s="40"/>
      <c r="H75" s="40"/>
      <c r="I75" s="40"/>
      <c r="J75" s="40"/>
      <c r="K75" s="40"/>
    </row>
    <row r="76" spans="1:11">
      <c r="A76" s="13"/>
      <c r="B76" s="46" t="s">
        <v>80</v>
      </c>
      <c r="C76" s="42">
        <f>1/C75</f>
        <v>947.81707774915037</v>
      </c>
      <c r="D76" s="43" t="s">
        <v>82</v>
      </c>
      <c r="E76" s="44" t="s">
        <v>79</v>
      </c>
      <c r="G76" s="40"/>
      <c r="H76" s="40"/>
      <c r="I76" s="40"/>
      <c r="J76" s="40"/>
      <c r="K76" s="40"/>
    </row>
    <row r="77" spans="1:11">
      <c r="A77" s="13"/>
      <c r="B77" s="33" t="s">
        <v>83</v>
      </c>
      <c r="C77" s="16">
        <v>1000000000000</v>
      </c>
      <c r="D77" s="43" t="s">
        <v>84</v>
      </c>
      <c r="E77" s="44" t="s">
        <v>79</v>
      </c>
      <c r="G77" s="40"/>
      <c r="H77" s="40"/>
      <c r="I77" s="40"/>
      <c r="J77" s="40"/>
      <c r="K77" s="40"/>
    </row>
    <row r="78" spans="1:11">
      <c r="A78" s="13"/>
      <c r="B78" s="33" t="s">
        <v>85</v>
      </c>
      <c r="C78" s="47">
        <v>3.6</v>
      </c>
      <c r="D78" s="33" t="s">
        <v>86</v>
      </c>
      <c r="E78" s="44" t="s">
        <v>79</v>
      </c>
      <c r="G78" s="40"/>
      <c r="H78" s="40"/>
      <c r="I78" s="40"/>
      <c r="J78" s="40"/>
      <c r="K78" s="40"/>
    </row>
    <row r="79" spans="1:11">
      <c r="A79" s="13"/>
      <c r="B79" s="33" t="s">
        <v>87</v>
      </c>
      <c r="C79" s="48">
        <f>C78/1000</f>
        <v>3.5999999999999999E-3</v>
      </c>
      <c r="D79" s="33" t="s">
        <v>88</v>
      </c>
      <c r="E79" s="36" t="s">
        <v>89</v>
      </c>
      <c r="G79" s="40"/>
      <c r="H79" s="40"/>
      <c r="I79" s="40"/>
      <c r="J79" s="40"/>
      <c r="K79" s="40"/>
    </row>
    <row r="80" spans="1:11">
      <c r="A80" s="13"/>
      <c r="B80" s="33" t="s">
        <v>90</v>
      </c>
      <c r="C80" s="16">
        <v>3412.1414798999999</v>
      </c>
      <c r="D80" s="33" t="s">
        <v>91</v>
      </c>
      <c r="E80" s="44" t="s">
        <v>79</v>
      </c>
      <c r="G80" s="40"/>
      <c r="H80" s="40"/>
      <c r="I80" s="40"/>
      <c r="J80" s="40"/>
      <c r="K80" s="40"/>
    </row>
    <row r="81" spans="1:11">
      <c r="A81" s="13"/>
      <c r="B81" s="33" t="s">
        <v>92</v>
      </c>
      <c r="C81" s="47">
        <f>C78*1000</f>
        <v>3600</v>
      </c>
      <c r="D81" s="33" t="s">
        <v>93</v>
      </c>
      <c r="E81" s="36" t="s">
        <v>89</v>
      </c>
      <c r="G81" s="40"/>
      <c r="H81" s="40"/>
      <c r="I81" s="40"/>
      <c r="J81" s="40"/>
      <c r="K81" s="40"/>
    </row>
    <row r="82" spans="1:11">
      <c r="A82" s="13"/>
      <c r="B82" s="33" t="s">
        <v>94</v>
      </c>
      <c r="C82" s="16">
        <v>277777.77777777001</v>
      </c>
      <c r="D82" s="33" t="s">
        <v>95</v>
      </c>
      <c r="E82" s="44" t="s">
        <v>79</v>
      </c>
      <c r="G82" s="40"/>
      <c r="H82" s="40"/>
      <c r="I82" s="40"/>
      <c r="J82" s="40"/>
      <c r="K82" s="40"/>
    </row>
    <row r="83" spans="1:11">
      <c r="A83" s="13"/>
      <c r="B83" s="46" t="s">
        <v>96</v>
      </c>
      <c r="C83" s="49">
        <v>3.6</v>
      </c>
      <c r="D83" s="46" t="s">
        <v>97</v>
      </c>
      <c r="E83" s="44" t="s">
        <v>79</v>
      </c>
      <c r="G83" s="40"/>
      <c r="H83" s="40"/>
      <c r="I83" s="40"/>
      <c r="J83" s="40"/>
      <c r="K83" s="40"/>
    </row>
    <row r="84" spans="1:11">
      <c r="A84" s="13"/>
      <c r="B84" s="46" t="s">
        <v>98</v>
      </c>
      <c r="C84" s="16">
        <v>1000</v>
      </c>
      <c r="D84" s="46" t="s">
        <v>99</v>
      </c>
      <c r="E84" s="44" t="s">
        <v>79</v>
      </c>
      <c r="G84" s="40"/>
      <c r="H84" s="40"/>
      <c r="I84" s="40"/>
      <c r="J84" s="40"/>
      <c r="K84" s="40"/>
    </row>
    <row r="85" spans="1:11">
      <c r="A85" s="13"/>
      <c r="B85" s="46" t="s">
        <v>100</v>
      </c>
      <c r="C85" s="16">
        <v>1000</v>
      </c>
      <c r="D85" s="46" t="s">
        <v>101</v>
      </c>
      <c r="E85" s="44" t="s">
        <v>79</v>
      </c>
      <c r="G85" s="40"/>
      <c r="H85" s="40"/>
      <c r="I85" s="40"/>
      <c r="J85" s="40"/>
      <c r="K85" s="40"/>
    </row>
    <row r="86" spans="1:11">
      <c r="A86" s="13"/>
      <c r="B86" s="46" t="s">
        <v>102</v>
      </c>
      <c r="C86" s="16">
        <v>3600000</v>
      </c>
      <c r="D86" s="46" t="s">
        <v>103</v>
      </c>
      <c r="E86" s="44" t="s">
        <v>79</v>
      </c>
      <c r="G86" s="40"/>
      <c r="H86" s="40"/>
      <c r="I86" s="40"/>
      <c r="J86" s="40"/>
      <c r="K86" s="40"/>
    </row>
    <row r="87" spans="1:11">
      <c r="A87" s="13"/>
      <c r="B87" s="46" t="s">
        <v>104</v>
      </c>
      <c r="C87" s="16">
        <v>1000000</v>
      </c>
      <c r="D87" s="46" t="s">
        <v>105</v>
      </c>
      <c r="E87" s="44" t="s">
        <v>79</v>
      </c>
      <c r="G87" s="40"/>
      <c r="H87" s="40"/>
      <c r="I87" s="40"/>
      <c r="J87" s="40"/>
      <c r="K87" s="40"/>
    </row>
    <row r="88" spans="1:11">
      <c r="A88" s="13"/>
      <c r="B88" s="33"/>
      <c r="C88" s="16"/>
      <c r="D88" s="33"/>
      <c r="E88" s="44"/>
      <c r="G88" s="40"/>
      <c r="H88" s="40"/>
      <c r="I88" s="40"/>
      <c r="J88" s="40"/>
      <c r="K88" s="40"/>
    </row>
    <row r="89" spans="1:11">
      <c r="A89" s="13"/>
      <c r="B89" s="41" t="s">
        <v>106</v>
      </c>
      <c r="C89" s="50"/>
      <c r="D89" s="33"/>
      <c r="E89" s="44"/>
      <c r="G89" s="40"/>
      <c r="H89" s="40"/>
      <c r="I89" s="40"/>
      <c r="J89" s="40"/>
      <c r="K89" s="40"/>
    </row>
    <row r="90" spans="1:11">
      <c r="A90" s="13"/>
      <c r="B90" s="33" t="s">
        <v>107</v>
      </c>
      <c r="C90" s="47">
        <v>746</v>
      </c>
      <c r="D90" s="33" t="s">
        <v>108</v>
      </c>
      <c r="E90" s="44" t="s">
        <v>79</v>
      </c>
      <c r="G90" s="40"/>
      <c r="H90" s="40"/>
      <c r="I90" s="40"/>
      <c r="J90" s="40"/>
      <c r="K90" s="40"/>
    </row>
    <row r="91" spans="1:11">
      <c r="A91" s="13"/>
      <c r="B91" s="33" t="s">
        <v>109</v>
      </c>
      <c r="C91" s="47">
        <v>745.69987000000003</v>
      </c>
      <c r="D91" s="33" t="s">
        <v>110</v>
      </c>
      <c r="E91" s="44" t="s">
        <v>79</v>
      </c>
      <c r="G91" s="40"/>
      <c r="H91" s="40"/>
      <c r="I91" s="40"/>
      <c r="J91" s="40"/>
      <c r="K91" s="40"/>
    </row>
    <row r="92" spans="1:11">
      <c r="A92" s="13"/>
      <c r="B92" s="33" t="s">
        <v>111</v>
      </c>
      <c r="C92" s="47">
        <v>735.49874999999997</v>
      </c>
      <c r="D92" s="33" t="s">
        <v>112</v>
      </c>
      <c r="E92" s="44" t="s">
        <v>79</v>
      </c>
      <c r="G92" s="40"/>
      <c r="H92" s="40"/>
      <c r="I92" s="40"/>
      <c r="J92" s="40"/>
      <c r="K92" s="40"/>
    </row>
    <row r="93" spans="1:11">
      <c r="A93" s="13"/>
      <c r="B93" s="33"/>
      <c r="C93" s="51"/>
      <c r="D93" s="33"/>
      <c r="E93" s="44"/>
      <c r="G93" s="40"/>
      <c r="H93" s="40"/>
      <c r="I93" s="40"/>
      <c r="J93" s="40"/>
      <c r="K93" s="40"/>
    </row>
    <row r="94" spans="1:11">
      <c r="A94" s="13"/>
      <c r="B94" s="33"/>
      <c r="C94" s="50"/>
      <c r="D94" s="33"/>
      <c r="E94" s="44"/>
      <c r="G94" s="40"/>
      <c r="H94" s="40"/>
      <c r="I94" s="40"/>
      <c r="J94" s="40"/>
      <c r="K94" s="40"/>
    </row>
    <row r="95" spans="1:11">
      <c r="A95" s="13"/>
      <c r="B95" s="41" t="s">
        <v>113</v>
      </c>
      <c r="C95" s="50"/>
      <c r="D95" s="33"/>
      <c r="E95" s="44"/>
      <c r="G95" s="40"/>
      <c r="H95" s="40"/>
      <c r="I95" s="40"/>
      <c r="J95" s="40"/>
      <c r="K95" s="40"/>
    </row>
    <row r="96" spans="1:11">
      <c r="A96" s="13"/>
      <c r="B96" s="33" t="s">
        <v>114</v>
      </c>
      <c r="C96" s="45">
        <v>1.8520000000000001</v>
      </c>
      <c r="D96" s="33" t="s">
        <v>115</v>
      </c>
      <c r="E96" s="44" t="s">
        <v>79</v>
      </c>
      <c r="G96" s="40"/>
      <c r="H96" s="40"/>
      <c r="I96" s="40"/>
      <c r="J96" s="40"/>
      <c r="K96" s="40"/>
    </row>
    <row r="97" spans="1:11">
      <c r="A97" s="13"/>
      <c r="B97" s="37" t="s">
        <v>116</v>
      </c>
      <c r="C97" s="52">
        <v>1.6093440000000001</v>
      </c>
      <c r="D97" s="43" t="s">
        <v>117</v>
      </c>
      <c r="E97" s="44" t="s">
        <v>79</v>
      </c>
      <c r="G97" s="40"/>
      <c r="H97" s="40"/>
      <c r="I97" s="40"/>
      <c r="J97" s="40"/>
      <c r="K97" s="40"/>
    </row>
    <row r="98" spans="1:11">
      <c r="A98" s="13"/>
      <c r="B98" s="37"/>
      <c r="C98" s="45"/>
      <c r="D98" s="43"/>
      <c r="E98" s="44"/>
      <c r="G98" s="40"/>
      <c r="H98" s="40"/>
      <c r="I98" s="40"/>
      <c r="J98" s="40"/>
      <c r="K98" s="40"/>
    </row>
    <row r="99" spans="1:11">
      <c r="A99" s="13"/>
      <c r="B99" s="37"/>
      <c r="C99" s="45"/>
      <c r="D99" s="43"/>
      <c r="E99" s="44"/>
      <c r="G99" s="40"/>
      <c r="H99" s="40"/>
      <c r="I99" s="40"/>
      <c r="J99" s="40"/>
      <c r="K99" s="40"/>
    </row>
    <row r="100" spans="1:11">
      <c r="A100" s="13"/>
      <c r="B100" s="41" t="s">
        <v>118</v>
      </c>
      <c r="C100" s="45"/>
      <c r="D100" s="43"/>
      <c r="E100" s="44"/>
      <c r="G100" s="40"/>
      <c r="H100" s="40"/>
      <c r="I100" s="40"/>
      <c r="J100" s="40"/>
      <c r="K100" s="40"/>
    </row>
    <row r="101" spans="1:11">
      <c r="A101" s="13"/>
      <c r="B101" s="53" t="s">
        <v>119</v>
      </c>
      <c r="C101" s="54">
        <v>0.40400000000000003</v>
      </c>
      <c r="D101" s="53" t="s">
        <v>120</v>
      </c>
      <c r="E101" s="44" t="s">
        <v>79</v>
      </c>
      <c r="G101" s="40"/>
      <c r="H101" s="40"/>
      <c r="I101" s="40"/>
      <c r="J101" s="40"/>
      <c r="K101" s="40"/>
    </row>
    <row r="102" spans="1:11">
      <c r="A102" s="13"/>
      <c r="B102" s="53" t="s">
        <v>121</v>
      </c>
      <c r="C102" s="55">
        <v>10.763910417</v>
      </c>
      <c r="D102" s="53" t="s">
        <v>122</v>
      </c>
      <c r="E102" s="44" t="s">
        <v>79</v>
      </c>
      <c r="G102" s="40"/>
      <c r="H102" s="40"/>
      <c r="I102" s="40"/>
      <c r="J102" s="40"/>
      <c r="K102" s="40"/>
    </row>
    <row r="103" spans="1:11">
      <c r="A103" s="13"/>
      <c r="B103" s="56"/>
      <c r="C103" s="54"/>
      <c r="D103" s="53"/>
      <c r="E103" s="57"/>
      <c r="G103" s="40"/>
      <c r="H103" s="40"/>
      <c r="I103" s="40"/>
      <c r="J103" s="40"/>
      <c r="K103" s="40"/>
    </row>
    <row r="104" spans="1:11">
      <c r="A104" s="13"/>
      <c r="B104" s="56"/>
      <c r="C104" s="54"/>
      <c r="D104" s="53"/>
      <c r="E104" s="57"/>
      <c r="G104" s="40"/>
      <c r="H104" s="40"/>
      <c r="I104" s="40"/>
      <c r="J104" s="40"/>
      <c r="K104" s="40"/>
    </row>
    <row r="105" spans="1:11">
      <c r="A105" s="13"/>
      <c r="B105" s="41" t="s">
        <v>123</v>
      </c>
      <c r="C105" s="45"/>
      <c r="D105" s="33"/>
      <c r="E105" s="37"/>
      <c r="G105" s="40"/>
      <c r="H105" s="40"/>
      <c r="I105" s="40"/>
      <c r="J105" s="40"/>
      <c r="K105" s="40"/>
    </row>
    <row r="106" spans="1:11">
      <c r="A106" s="13"/>
      <c r="B106" s="33" t="s">
        <v>124</v>
      </c>
      <c r="C106" s="58">
        <v>3.7854117839999999</v>
      </c>
      <c r="D106" s="33" t="s">
        <v>125</v>
      </c>
      <c r="E106" s="44" t="s">
        <v>79</v>
      </c>
      <c r="G106" s="40"/>
      <c r="H106" s="40"/>
      <c r="I106" s="40"/>
      <c r="J106" s="40"/>
      <c r="K106" s="40"/>
    </row>
    <row r="107" spans="1:11">
      <c r="A107" s="13"/>
      <c r="B107" s="33" t="s">
        <v>126</v>
      </c>
      <c r="C107" s="58">
        <v>2.8316846592000001E-2</v>
      </c>
      <c r="D107" s="33" t="s">
        <v>127</v>
      </c>
      <c r="E107" s="44" t="s">
        <v>79</v>
      </c>
      <c r="G107" s="40"/>
      <c r="H107" s="40"/>
      <c r="I107" s="40"/>
      <c r="J107" s="40"/>
      <c r="K107" s="40"/>
    </row>
    <row r="108" spans="1:11">
      <c r="A108" s="13"/>
      <c r="B108" s="33" t="s">
        <v>128</v>
      </c>
      <c r="C108" s="58">
        <v>0.26417205236000002</v>
      </c>
      <c r="D108" s="33" t="s">
        <v>129</v>
      </c>
      <c r="E108" s="44" t="s">
        <v>79</v>
      </c>
      <c r="G108" s="40"/>
      <c r="H108" s="40"/>
      <c r="I108" s="40"/>
      <c r="J108" s="40"/>
      <c r="K108" s="40"/>
    </row>
    <row r="109" spans="1:11">
      <c r="A109" s="13"/>
      <c r="B109" s="33" t="s">
        <v>130</v>
      </c>
      <c r="C109" s="58">
        <v>3.5314666720999997E-2</v>
      </c>
      <c r="D109" s="33" t="s">
        <v>131</v>
      </c>
      <c r="E109" s="44" t="s">
        <v>79</v>
      </c>
      <c r="G109" s="40"/>
      <c r="H109" s="40"/>
      <c r="I109" s="40"/>
      <c r="J109" s="40"/>
      <c r="K109" s="40"/>
    </row>
    <row r="110" spans="1:11">
      <c r="A110" s="13"/>
      <c r="B110" s="33" t="s">
        <v>132</v>
      </c>
      <c r="C110" s="45">
        <v>1000</v>
      </c>
      <c r="D110" s="43" t="s">
        <v>133</v>
      </c>
      <c r="E110" s="44" t="s">
        <v>79</v>
      </c>
      <c r="G110" s="40"/>
      <c r="H110" s="40"/>
      <c r="I110" s="40"/>
      <c r="J110" s="40"/>
      <c r="K110" s="40"/>
    </row>
    <row r="111" spans="1:11">
      <c r="A111" s="13"/>
      <c r="B111" s="33" t="s">
        <v>134</v>
      </c>
      <c r="C111" s="45">
        <v>100</v>
      </c>
      <c r="D111" s="33" t="s">
        <v>135</v>
      </c>
      <c r="E111" s="37"/>
      <c r="G111" s="40"/>
      <c r="H111" s="40"/>
      <c r="I111" s="40"/>
      <c r="J111" s="40"/>
      <c r="K111" s="40"/>
    </row>
    <row r="112" spans="1:11">
      <c r="A112" s="13"/>
      <c r="B112" s="59" t="s">
        <v>136</v>
      </c>
      <c r="C112" s="54">
        <v>6.29</v>
      </c>
      <c r="D112" s="59" t="s">
        <v>137</v>
      </c>
      <c r="E112" s="6" t="s">
        <v>138</v>
      </c>
      <c r="G112" s="40"/>
      <c r="H112" s="40"/>
      <c r="I112" s="40"/>
      <c r="J112" s="40"/>
      <c r="K112" s="40"/>
    </row>
    <row r="113" spans="1:11">
      <c r="A113" s="13"/>
      <c r="B113" s="33"/>
      <c r="C113" s="45"/>
      <c r="D113" s="33"/>
      <c r="E113" s="37"/>
      <c r="G113" s="40"/>
      <c r="H113" s="40"/>
      <c r="I113" s="40"/>
      <c r="J113" s="40"/>
      <c r="K113" s="40"/>
    </row>
    <row r="114" spans="1:11">
      <c r="A114" s="13"/>
      <c r="B114" s="33"/>
      <c r="C114" s="45"/>
      <c r="D114" s="33"/>
      <c r="E114" s="37"/>
      <c r="G114" s="40"/>
      <c r="H114" s="40"/>
      <c r="I114" s="40"/>
      <c r="J114" s="40"/>
      <c r="K114" s="40"/>
    </row>
    <row r="115" spans="1:11">
      <c r="A115" s="13"/>
      <c r="B115" s="41" t="s">
        <v>139</v>
      </c>
      <c r="C115" s="45"/>
      <c r="D115" s="33"/>
      <c r="E115" s="37"/>
      <c r="G115" s="40"/>
      <c r="H115" s="40"/>
      <c r="I115" s="40"/>
      <c r="J115" s="40"/>
      <c r="K115" s="40"/>
    </row>
    <row r="116" spans="1:11">
      <c r="A116" s="13"/>
      <c r="B116" s="33" t="s">
        <v>140</v>
      </c>
      <c r="C116" s="52">
        <v>2.2046226218</v>
      </c>
      <c r="D116" s="43" t="s">
        <v>141</v>
      </c>
      <c r="E116" s="44" t="s">
        <v>79</v>
      </c>
      <c r="G116" s="38"/>
      <c r="H116" s="38"/>
      <c r="I116" s="38"/>
      <c r="J116" s="38"/>
      <c r="K116" s="38"/>
    </row>
    <row r="117" spans="1:11">
      <c r="B117" s="59" t="s">
        <v>142</v>
      </c>
      <c r="C117" s="16">
        <v>1000000000</v>
      </c>
      <c r="D117" s="43" t="s">
        <v>143</v>
      </c>
      <c r="E117" s="44" t="s">
        <v>79</v>
      </c>
      <c r="G117" s="38"/>
      <c r="H117" s="38"/>
      <c r="I117" s="38"/>
      <c r="J117" s="38"/>
      <c r="K117" s="38"/>
    </row>
    <row r="118" spans="1:11">
      <c r="B118" s="59" t="s">
        <v>144</v>
      </c>
      <c r="C118" s="16">
        <v>1000</v>
      </c>
      <c r="D118" s="43" t="s">
        <v>145</v>
      </c>
      <c r="E118" s="44" t="s">
        <v>79</v>
      </c>
      <c r="G118" s="38"/>
      <c r="H118" s="38"/>
      <c r="I118" s="38"/>
      <c r="J118" s="38"/>
      <c r="K118" s="38"/>
    </row>
    <row r="119" spans="1:11">
      <c r="B119" s="59" t="s">
        <v>146</v>
      </c>
      <c r="C119" s="16">
        <v>1000</v>
      </c>
      <c r="D119" s="43" t="s">
        <v>147</v>
      </c>
      <c r="E119" s="44" t="s">
        <v>79</v>
      </c>
      <c r="G119" s="38"/>
      <c r="H119" s="38"/>
      <c r="I119" s="38"/>
      <c r="J119" s="38"/>
      <c r="K119" s="38"/>
    </row>
    <row r="120" spans="1:11">
      <c r="B120" s="59" t="s">
        <v>148</v>
      </c>
      <c r="C120" s="60">
        <v>2204.623</v>
      </c>
      <c r="D120" s="43" t="s">
        <v>149</v>
      </c>
      <c r="E120" s="44" t="s">
        <v>79</v>
      </c>
      <c r="G120" s="38"/>
      <c r="H120" s="38"/>
      <c r="I120" s="38"/>
      <c r="J120" s="38"/>
      <c r="K120" s="38"/>
    </row>
    <row r="121" spans="1:11">
      <c r="B121" s="46" t="s">
        <v>150</v>
      </c>
      <c r="C121" s="60">
        <v>453.59199999999998</v>
      </c>
      <c r="D121" s="43" t="s">
        <v>151</v>
      </c>
      <c r="E121" s="44" t="s">
        <v>79</v>
      </c>
      <c r="G121" s="38"/>
      <c r="H121" s="38"/>
      <c r="I121" s="38"/>
      <c r="J121" s="38"/>
      <c r="K121" s="38"/>
    </row>
    <row r="122" spans="1:11">
      <c r="B122" s="46" t="s">
        <v>152</v>
      </c>
      <c r="C122" s="60">
        <v>1000</v>
      </c>
      <c r="D122" s="43" t="s">
        <v>153</v>
      </c>
      <c r="E122" s="44" t="s">
        <v>79</v>
      </c>
      <c r="G122" s="38"/>
      <c r="H122" s="38"/>
      <c r="I122" s="38"/>
      <c r="J122" s="38"/>
      <c r="K122" s="38"/>
    </row>
    <row r="123" spans="1:11">
      <c r="B123" s="46" t="s">
        <v>154</v>
      </c>
      <c r="C123" s="60">
        <v>1000000000000</v>
      </c>
      <c r="D123" s="43" t="s">
        <v>155</v>
      </c>
      <c r="E123" s="44" t="s">
        <v>79</v>
      </c>
      <c r="G123" s="38"/>
      <c r="H123" s="38"/>
      <c r="I123" s="38"/>
      <c r="J123" s="38"/>
      <c r="K123" s="38"/>
    </row>
    <row r="124" spans="1:11">
      <c r="B124" s="46" t="s">
        <v>156</v>
      </c>
      <c r="C124" s="60">
        <v>1000000</v>
      </c>
      <c r="D124" s="43" t="s">
        <v>157</v>
      </c>
      <c r="E124" s="44" t="s">
        <v>79</v>
      </c>
      <c r="G124" s="38"/>
      <c r="H124" s="38"/>
      <c r="I124" s="38"/>
      <c r="J124" s="38"/>
      <c r="K124" s="38"/>
    </row>
    <row r="125" spans="1:11">
      <c r="B125" s="46" t="s">
        <v>158</v>
      </c>
      <c r="C125" s="60">
        <v>1000</v>
      </c>
      <c r="D125" s="43" t="s">
        <v>159</v>
      </c>
      <c r="E125" s="44" t="s">
        <v>79</v>
      </c>
      <c r="G125" s="38"/>
      <c r="H125" s="38"/>
      <c r="I125" s="38"/>
      <c r="J125" s="38"/>
      <c r="K125" s="38"/>
    </row>
    <row r="126" spans="1:11">
      <c r="B126" s="46" t="s">
        <v>160</v>
      </c>
      <c r="C126" s="60">
        <v>1000</v>
      </c>
      <c r="D126" s="43" t="s">
        <v>161</v>
      </c>
      <c r="E126" s="44" t="s">
        <v>79</v>
      </c>
      <c r="G126" s="38"/>
      <c r="H126" s="38"/>
      <c r="I126" s="38"/>
      <c r="J126" s="38"/>
      <c r="K126" s="38"/>
    </row>
    <row r="127" spans="1:11">
      <c r="B127" s="46" t="s">
        <v>162</v>
      </c>
      <c r="C127" s="60">
        <v>907.18474000000003</v>
      </c>
      <c r="D127" s="43" t="s">
        <v>163</v>
      </c>
      <c r="E127" s="44" t="s">
        <v>79</v>
      </c>
      <c r="G127" s="38"/>
      <c r="H127" s="38"/>
      <c r="I127" s="38"/>
      <c r="J127" s="38"/>
      <c r="K127" s="38"/>
    </row>
    <row r="128" spans="1:11">
      <c r="B128" s="46" t="s">
        <v>164</v>
      </c>
      <c r="C128" s="61">
        <v>0.90718474000000004</v>
      </c>
      <c r="D128" s="43" t="s">
        <v>165</v>
      </c>
      <c r="E128" s="44" t="s">
        <v>79</v>
      </c>
      <c r="G128" s="38"/>
      <c r="H128" s="38"/>
      <c r="I128" s="38"/>
      <c r="J128" s="38"/>
      <c r="K128" s="38"/>
    </row>
    <row r="129" spans="1:11">
      <c r="B129" s="53" t="s">
        <v>166</v>
      </c>
      <c r="C129" s="62">
        <v>0.90718399999999999</v>
      </c>
      <c r="D129" s="63" t="s">
        <v>165</v>
      </c>
      <c r="E129" s="44" t="s">
        <v>79</v>
      </c>
      <c r="G129" s="38"/>
      <c r="H129" s="38"/>
      <c r="I129" s="38"/>
      <c r="J129" s="38"/>
      <c r="K129" s="38"/>
    </row>
    <row r="130" spans="1:11">
      <c r="B130" s="56"/>
      <c r="C130" s="54"/>
      <c r="D130" s="53"/>
      <c r="E130" s="57"/>
      <c r="G130" s="38"/>
      <c r="H130" s="38"/>
      <c r="I130" s="38"/>
      <c r="J130" s="38"/>
      <c r="K130" s="38"/>
    </row>
    <row r="131" spans="1:11">
      <c r="B131" s="56"/>
      <c r="C131" s="54"/>
      <c r="D131" s="53"/>
      <c r="E131" s="57"/>
      <c r="G131" s="38"/>
      <c r="H131" s="38"/>
      <c r="I131" s="38"/>
      <c r="J131" s="38"/>
      <c r="K131" s="38"/>
    </row>
    <row r="132" spans="1:11">
      <c r="B132" s="56"/>
      <c r="C132" s="54"/>
      <c r="D132" s="53"/>
      <c r="E132" s="57"/>
      <c r="G132" s="38"/>
      <c r="H132" s="38"/>
      <c r="I132" s="38"/>
      <c r="J132" s="38"/>
      <c r="K132" s="38"/>
    </row>
    <row r="133" spans="1:11" ht="17">
      <c r="A133" s="14" t="s">
        <v>167</v>
      </c>
      <c r="B133" s="37"/>
      <c r="C133" s="45"/>
      <c r="D133" s="43"/>
      <c r="E133" s="37"/>
      <c r="G133" s="38"/>
      <c r="H133" s="38"/>
      <c r="I133" s="38"/>
      <c r="J133" s="38"/>
      <c r="K133" s="38"/>
    </row>
    <row r="134" spans="1:11">
      <c r="A134" s="13"/>
      <c r="B134" s="64" t="s">
        <v>168</v>
      </c>
      <c r="C134" s="16">
        <v>27700</v>
      </c>
      <c r="D134" s="64" t="s">
        <v>169</v>
      </c>
      <c r="E134" s="64" t="s">
        <v>170</v>
      </c>
      <c r="G134" s="38"/>
      <c r="H134" s="38"/>
      <c r="I134" s="38"/>
      <c r="J134" s="38"/>
      <c r="K134" s="38"/>
    </row>
    <row r="135" spans="1:11">
      <c r="A135" s="13"/>
      <c r="B135" s="64" t="s">
        <v>171</v>
      </c>
      <c r="C135" s="16">
        <v>29820</v>
      </c>
      <c r="D135" s="64" t="s">
        <v>169</v>
      </c>
      <c r="E135" s="64" t="s">
        <v>170</v>
      </c>
      <c r="G135" s="38"/>
      <c r="H135" s="38"/>
      <c r="I135" s="38"/>
      <c r="J135" s="38"/>
      <c r="K135" s="38"/>
    </row>
    <row r="136" spans="1:11">
      <c r="A136" s="13"/>
      <c r="B136" s="64" t="s">
        <v>172</v>
      </c>
      <c r="C136" s="16">
        <v>28960</v>
      </c>
      <c r="D136" s="64" t="s">
        <v>169</v>
      </c>
      <c r="E136" s="64" t="s">
        <v>170</v>
      </c>
      <c r="G136" s="38"/>
      <c r="H136" s="38"/>
      <c r="I136" s="38"/>
      <c r="J136" s="38"/>
      <c r="K136" s="38"/>
    </row>
    <row r="137" spans="1:11">
      <c r="A137" s="13"/>
      <c r="B137" s="64" t="s">
        <v>173</v>
      </c>
      <c r="C137" s="16">
        <v>26800</v>
      </c>
      <c r="D137" s="64" t="s">
        <v>169</v>
      </c>
      <c r="E137" s="64" t="s">
        <v>170</v>
      </c>
      <c r="G137" s="38"/>
      <c r="H137" s="38"/>
      <c r="I137" s="38"/>
      <c r="J137" s="38"/>
      <c r="K137" s="38"/>
    </row>
    <row r="138" spans="1:11">
      <c r="A138" s="13"/>
      <c r="B138" s="64" t="s">
        <v>174</v>
      </c>
      <c r="C138" s="16">
        <v>25430</v>
      </c>
      <c r="D138" s="64" t="s">
        <v>169</v>
      </c>
      <c r="E138" s="64" t="s">
        <v>170</v>
      </c>
      <c r="G138" s="38"/>
      <c r="H138" s="38"/>
      <c r="I138" s="38"/>
      <c r="J138" s="38"/>
      <c r="K138" s="38"/>
    </row>
    <row r="139" spans="1:11">
      <c r="A139" s="13"/>
      <c r="B139" s="64" t="s">
        <v>175</v>
      </c>
      <c r="C139" s="16">
        <v>26020</v>
      </c>
      <c r="D139" s="64" t="s">
        <v>169</v>
      </c>
      <c r="E139" s="64" t="s">
        <v>170</v>
      </c>
      <c r="F139" s="15"/>
      <c r="G139" s="38"/>
      <c r="H139" s="38"/>
      <c r="I139" s="38"/>
      <c r="J139" s="38"/>
      <c r="K139" s="38"/>
    </row>
    <row r="140" spans="1:11">
      <c r="A140" s="13"/>
      <c r="B140" s="64" t="s">
        <v>176</v>
      </c>
      <c r="C140" s="16">
        <v>25430</v>
      </c>
      <c r="D140" s="64" t="s">
        <v>169</v>
      </c>
      <c r="E140" s="64" t="s">
        <v>170</v>
      </c>
      <c r="F140" s="15"/>
      <c r="G140" s="38"/>
      <c r="H140" s="38"/>
      <c r="I140" s="38"/>
      <c r="J140" s="38"/>
      <c r="K140" s="38"/>
    </row>
    <row r="141" spans="1:11">
      <c r="A141" s="13"/>
      <c r="B141" s="64" t="s">
        <v>177</v>
      </c>
      <c r="C141" s="16">
        <v>26020</v>
      </c>
      <c r="D141" s="64" t="s">
        <v>169</v>
      </c>
      <c r="E141" s="64" t="s">
        <v>170</v>
      </c>
      <c r="F141" s="15"/>
      <c r="G141" s="38"/>
      <c r="H141" s="38"/>
      <c r="I141" s="38"/>
      <c r="J141" s="38"/>
      <c r="K141" s="38"/>
    </row>
    <row r="142" spans="1:11">
      <c r="A142" s="13"/>
      <c r="B142" s="64" t="s">
        <v>178</v>
      </c>
      <c r="C142" s="16">
        <v>19150</v>
      </c>
      <c r="D142" s="64" t="s">
        <v>169</v>
      </c>
      <c r="E142" s="64" t="s">
        <v>170</v>
      </c>
      <c r="F142" s="15"/>
      <c r="G142" s="38"/>
      <c r="H142" s="38"/>
      <c r="I142" s="38"/>
      <c r="J142" s="38"/>
      <c r="K142" s="38"/>
    </row>
    <row r="143" spans="1:11">
      <c r="A143" s="13"/>
      <c r="B143" s="64" t="s">
        <v>179</v>
      </c>
      <c r="C143" s="16">
        <v>15000</v>
      </c>
      <c r="D143" s="64" t="s">
        <v>169</v>
      </c>
      <c r="E143" s="64" t="s">
        <v>170</v>
      </c>
      <c r="F143" s="15"/>
      <c r="G143" s="38"/>
      <c r="H143" s="38"/>
      <c r="I143" s="38"/>
      <c r="J143" s="38"/>
      <c r="K143" s="38"/>
    </row>
    <row r="144" spans="1:11">
      <c r="A144" s="13"/>
      <c r="B144" s="64" t="s">
        <v>180</v>
      </c>
      <c r="C144" s="16">
        <v>28830</v>
      </c>
      <c r="D144" s="64" t="s">
        <v>169</v>
      </c>
      <c r="E144" s="64" t="s">
        <v>170</v>
      </c>
      <c r="F144" s="15"/>
      <c r="G144" s="38"/>
      <c r="H144" s="38"/>
      <c r="I144" s="38"/>
      <c r="J144" s="38"/>
      <c r="K144" s="38"/>
    </row>
    <row r="145" spans="1:11">
      <c r="A145" s="13"/>
      <c r="B145" s="64" t="s">
        <v>181</v>
      </c>
      <c r="C145" s="65">
        <v>1.9140000000000001E-2</v>
      </c>
      <c r="D145" s="64" t="s">
        <v>182</v>
      </c>
      <c r="E145" s="64" t="s">
        <v>170</v>
      </c>
      <c r="F145" s="15"/>
      <c r="G145" s="38"/>
      <c r="H145" s="38"/>
      <c r="I145" s="38"/>
      <c r="J145" s="38"/>
      <c r="K145" s="38"/>
    </row>
    <row r="146" spans="1:11">
      <c r="A146" s="13"/>
      <c r="B146" s="64" t="s">
        <v>183</v>
      </c>
      <c r="C146" s="65">
        <v>25.31</v>
      </c>
      <c r="D146" s="64" t="s">
        <v>182</v>
      </c>
      <c r="E146" s="64" t="s">
        <v>170</v>
      </c>
      <c r="F146" s="15"/>
      <c r="G146" s="38"/>
      <c r="H146" s="38"/>
      <c r="I146" s="38"/>
      <c r="J146" s="38"/>
      <c r="K146" s="38"/>
    </row>
    <row r="147" spans="1:11">
      <c r="A147" s="13"/>
      <c r="B147" s="64" t="s">
        <v>184</v>
      </c>
      <c r="C147" s="65">
        <v>28.44</v>
      </c>
      <c r="D147" s="64" t="s">
        <v>182</v>
      </c>
      <c r="E147" s="64" t="s">
        <v>170</v>
      </c>
      <c r="F147" s="15"/>
      <c r="G147" s="38"/>
      <c r="H147" s="38"/>
      <c r="I147" s="38"/>
      <c r="J147" s="38"/>
      <c r="K147" s="38"/>
    </row>
    <row r="148" spans="1:11">
      <c r="A148" s="13"/>
      <c r="B148" s="64" t="s">
        <v>185</v>
      </c>
      <c r="C148" s="65">
        <v>17.22</v>
      </c>
      <c r="D148" s="64" t="s">
        <v>182</v>
      </c>
      <c r="E148" s="64" t="s">
        <v>170</v>
      </c>
      <c r="F148" s="15"/>
      <c r="G148" s="38"/>
      <c r="H148" s="38"/>
      <c r="I148" s="38"/>
      <c r="J148" s="38"/>
      <c r="K148" s="38"/>
    </row>
    <row r="149" spans="1:11">
      <c r="A149" s="13"/>
      <c r="B149" s="64" t="s">
        <v>186</v>
      </c>
      <c r="C149" s="65">
        <v>38.520000000000003</v>
      </c>
      <c r="D149" s="64" t="s">
        <v>182</v>
      </c>
      <c r="E149" s="64" t="s">
        <v>170</v>
      </c>
      <c r="F149" s="15"/>
      <c r="G149" s="38"/>
      <c r="H149" s="38"/>
      <c r="I149" s="38"/>
      <c r="J149" s="38"/>
      <c r="K149" s="38"/>
    </row>
    <row r="150" spans="1:11">
      <c r="A150" s="13"/>
      <c r="B150" s="64" t="s">
        <v>187</v>
      </c>
      <c r="C150" s="65">
        <v>38.51</v>
      </c>
      <c r="D150" s="64" t="s">
        <v>182</v>
      </c>
      <c r="E150" s="64" t="s">
        <v>170</v>
      </c>
      <c r="F150" s="15"/>
      <c r="G150" s="38"/>
      <c r="H150" s="38"/>
      <c r="I150" s="38"/>
      <c r="J150" s="38"/>
      <c r="K150" s="38"/>
    </row>
    <row r="151" spans="1:11">
      <c r="A151" s="13"/>
      <c r="B151" s="64" t="s">
        <v>188</v>
      </c>
      <c r="C151" s="65">
        <v>40.9</v>
      </c>
      <c r="D151" s="64" t="s">
        <v>182</v>
      </c>
      <c r="E151" s="64" t="s">
        <v>170</v>
      </c>
      <c r="F151" s="15"/>
      <c r="G151" s="38"/>
      <c r="H151" s="38"/>
      <c r="I151" s="38"/>
      <c r="J151" s="38"/>
      <c r="K151" s="38"/>
    </row>
    <row r="152" spans="1:11">
      <c r="A152" s="13"/>
      <c r="B152" s="64" t="s">
        <v>189</v>
      </c>
      <c r="C152" s="65">
        <v>35.17</v>
      </c>
      <c r="D152" s="64" t="s">
        <v>182</v>
      </c>
      <c r="E152" s="64" t="s">
        <v>170</v>
      </c>
      <c r="F152" s="15"/>
      <c r="G152" s="38"/>
      <c r="H152" s="38"/>
      <c r="I152" s="38"/>
      <c r="J152" s="38"/>
      <c r="K152" s="38"/>
    </row>
    <row r="153" spans="1:11">
      <c r="A153" s="13"/>
      <c r="B153" s="64" t="s">
        <v>190</v>
      </c>
      <c r="C153" s="65">
        <v>3.6080000000000001E-2</v>
      </c>
      <c r="D153" s="64" t="s">
        <v>182</v>
      </c>
      <c r="E153" s="64" t="s">
        <v>170</v>
      </c>
      <c r="F153" s="15"/>
      <c r="G153" s="38"/>
      <c r="H153" s="38"/>
      <c r="I153" s="38"/>
      <c r="J153" s="38"/>
      <c r="K153" s="38"/>
    </row>
    <row r="154" spans="1:11">
      <c r="A154" s="13"/>
      <c r="B154" s="64" t="s">
        <v>191</v>
      </c>
      <c r="C154" s="65">
        <v>4.3240000000000001E-2</v>
      </c>
      <c r="D154" s="64" t="s">
        <v>182</v>
      </c>
      <c r="E154" s="64" t="s">
        <v>170</v>
      </c>
      <c r="F154" s="15"/>
      <c r="G154" s="38"/>
      <c r="H154" s="38"/>
      <c r="I154" s="38"/>
      <c r="J154" s="38"/>
      <c r="K154" s="38"/>
    </row>
    <row r="155" spans="1:11">
      <c r="A155" s="13"/>
      <c r="B155" s="64" t="s">
        <v>192</v>
      </c>
      <c r="C155" s="65">
        <v>35</v>
      </c>
      <c r="D155" s="64" t="s">
        <v>182</v>
      </c>
      <c r="E155" s="64" t="s">
        <v>170</v>
      </c>
      <c r="F155" s="15"/>
      <c r="G155" s="15"/>
      <c r="H155" s="15"/>
      <c r="I155" s="15"/>
      <c r="J155" s="15"/>
      <c r="K155" s="15"/>
    </row>
    <row r="156" spans="1:11">
      <c r="A156" s="13"/>
      <c r="B156" s="64" t="s">
        <v>193</v>
      </c>
      <c r="C156" s="65">
        <v>37.68</v>
      </c>
      <c r="D156" s="64" t="s">
        <v>182</v>
      </c>
      <c r="E156" s="64" t="s">
        <v>170</v>
      </c>
      <c r="F156" s="15"/>
      <c r="G156" s="38"/>
      <c r="H156" s="38"/>
      <c r="I156" s="38"/>
      <c r="J156" s="38"/>
      <c r="K156" s="38"/>
    </row>
    <row r="157" spans="1:11">
      <c r="A157" s="13"/>
      <c r="B157" s="64" t="s">
        <v>194</v>
      </c>
      <c r="C157" s="65">
        <v>38.299999999999997</v>
      </c>
      <c r="D157" s="64" t="s">
        <v>182</v>
      </c>
      <c r="E157" s="64" t="s">
        <v>170</v>
      </c>
      <c r="F157" s="15"/>
      <c r="G157" s="38"/>
      <c r="H157" s="38"/>
      <c r="I157" s="38"/>
      <c r="J157" s="38"/>
      <c r="K157" s="38"/>
    </row>
    <row r="158" spans="1:11">
      <c r="A158" s="13"/>
      <c r="B158" s="64" t="s">
        <v>195</v>
      </c>
      <c r="C158" s="65">
        <v>38.799999999999997</v>
      </c>
      <c r="D158" s="64" t="s">
        <v>182</v>
      </c>
      <c r="E158" s="64" t="s">
        <v>170</v>
      </c>
      <c r="F158" s="15"/>
      <c r="G158" s="38"/>
      <c r="H158" s="38"/>
      <c r="I158" s="38"/>
      <c r="J158" s="38"/>
      <c r="K158" s="38"/>
    </row>
    <row r="159" spans="1:11">
      <c r="A159" s="13"/>
      <c r="B159" s="64" t="s">
        <v>196</v>
      </c>
      <c r="C159" s="65">
        <v>42.5</v>
      </c>
      <c r="D159" s="64" t="s">
        <v>182</v>
      </c>
      <c r="E159" s="64" t="s">
        <v>170</v>
      </c>
      <c r="F159" s="15"/>
      <c r="G159" s="38"/>
      <c r="H159" s="38"/>
      <c r="I159" s="38"/>
      <c r="J159" s="38"/>
      <c r="K159" s="38"/>
    </row>
    <row r="160" spans="1:11">
      <c r="A160" s="13"/>
      <c r="B160" s="64" t="s">
        <v>197</v>
      </c>
      <c r="C160" s="65">
        <v>33.520000000000003</v>
      </c>
      <c r="D160" s="64" t="s">
        <v>182</v>
      </c>
      <c r="E160" s="64" t="s">
        <v>170</v>
      </c>
      <c r="F160" s="15"/>
      <c r="G160" s="38"/>
      <c r="H160" s="38"/>
      <c r="I160" s="38"/>
      <c r="J160" s="38"/>
      <c r="K160" s="38"/>
    </row>
    <row r="161" spans="1:11">
      <c r="A161" s="13"/>
      <c r="B161" s="64" t="s">
        <v>198</v>
      </c>
      <c r="C161" s="65">
        <v>37.4</v>
      </c>
      <c r="D161" s="64" t="s">
        <v>182</v>
      </c>
      <c r="E161" s="64" t="s">
        <v>170</v>
      </c>
      <c r="F161" s="15"/>
      <c r="G161" s="38"/>
      <c r="H161" s="38"/>
      <c r="I161" s="38"/>
      <c r="J161" s="38"/>
      <c r="K161" s="38"/>
    </row>
    <row r="162" spans="1:11">
      <c r="A162" s="13"/>
      <c r="B162" s="64" t="s">
        <v>199</v>
      </c>
      <c r="C162" s="65">
        <v>33.520000000000003</v>
      </c>
      <c r="D162" s="64" t="s">
        <v>182</v>
      </c>
      <c r="E162" s="64" t="s">
        <v>170</v>
      </c>
      <c r="F162" s="15"/>
      <c r="G162" s="38"/>
      <c r="H162" s="38"/>
      <c r="I162" s="38"/>
      <c r="J162" s="38"/>
      <c r="K162" s="38"/>
    </row>
    <row r="163" spans="1:11">
      <c r="A163" s="13"/>
      <c r="B163" s="64" t="s">
        <v>200</v>
      </c>
      <c r="C163" s="65">
        <v>37.4</v>
      </c>
      <c r="D163" s="64" t="s">
        <v>182</v>
      </c>
      <c r="E163" s="64" t="s">
        <v>170</v>
      </c>
      <c r="F163" s="15"/>
      <c r="G163" s="38"/>
      <c r="H163" s="38"/>
      <c r="I163" s="38"/>
      <c r="J163" s="38"/>
      <c r="K163" s="38"/>
    </row>
    <row r="164" spans="1:11">
      <c r="A164" s="13"/>
      <c r="B164" s="64" t="s">
        <v>201</v>
      </c>
      <c r="C164" s="65">
        <v>35.17</v>
      </c>
      <c r="D164" s="64" t="s">
        <v>182</v>
      </c>
      <c r="E164" s="64" t="s">
        <v>170</v>
      </c>
      <c r="F164" s="15"/>
      <c r="G164" s="38"/>
      <c r="H164" s="40"/>
      <c r="I164" s="38"/>
      <c r="J164" s="38"/>
      <c r="K164" s="38"/>
    </row>
    <row r="165" spans="1:11">
      <c r="A165" s="13"/>
      <c r="B165" s="64" t="s">
        <v>202</v>
      </c>
      <c r="C165" s="65">
        <v>35.17</v>
      </c>
      <c r="D165" s="64" t="s">
        <v>182</v>
      </c>
      <c r="E165" s="64" t="s">
        <v>170</v>
      </c>
      <c r="F165" s="15"/>
      <c r="G165" s="15"/>
      <c r="H165" s="40"/>
      <c r="I165" s="15"/>
      <c r="J165" s="15"/>
      <c r="K165" s="15"/>
    </row>
    <row r="166" spans="1:11">
      <c r="A166" s="13"/>
      <c r="B166" s="64" t="s">
        <v>203</v>
      </c>
      <c r="C166" s="65">
        <v>44.46</v>
      </c>
      <c r="D166" s="64" t="s">
        <v>182</v>
      </c>
      <c r="E166" s="64" t="s">
        <v>170</v>
      </c>
      <c r="F166" s="40"/>
      <c r="G166" s="40"/>
      <c r="H166" s="40"/>
      <c r="I166" s="40"/>
      <c r="J166" s="40"/>
      <c r="K166" s="40"/>
    </row>
    <row r="167" spans="1:11">
      <c r="A167" s="13"/>
      <c r="B167" s="64" t="s">
        <v>204</v>
      </c>
      <c r="C167" s="65">
        <v>39.159999999999997</v>
      </c>
      <c r="D167" s="64" t="s">
        <v>182</v>
      </c>
      <c r="E167" s="64" t="s">
        <v>170</v>
      </c>
      <c r="F167" s="40"/>
      <c r="G167" s="40"/>
      <c r="H167" s="40"/>
      <c r="I167" s="40"/>
      <c r="J167" s="40"/>
      <c r="K167" s="40"/>
    </row>
    <row r="168" spans="1:11">
      <c r="A168" s="13"/>
      <c r="B168" s="64" t="s">
        <v>205</v>
      </c>
      <c r="C168" s="65">
        <v>39.82</v>
      </c>
      <c r="D168" s="64" t="s">
        <v>182</v>
      </c>
      <c r="E168" s="64" t="s">
        <v>170</v>
      </c>
      <c r="F168" s="40"/>
      <c r="G168" s="40"/>
      <c r="H168" s="40"/>
      <c r="I168" s="40"/>
      <c r="J168" s="40"/>
      <c r="K168" s="40"/>
    </row>
    <row r="169" spans="1:11">
      <c r="A169" s="13"/>
      <c r="B169" s="64" t="s">
        <v>206</v>
      </c>
      <c r="C169" s="66">
        <v>3.8260000000000002E-2</v>
      </c>
      <c r="D169" s="64" t="s">
        <v>182</v>
      </c>
      <c r="E169" s="64" t="s">
        <v>170</v>
      </c>
      <c r="F169" s="40"/>
      <c r="G169" s="40"/>
      <c r="H169" s="40"/>
      <c r="I169" s="40"/>
      <c r="J169" s="40"/>
      <c r="K169" s="40"/>
    </row>
    <row r="170" spans="1:11">
      <c r="A170" s="13"/>
      <c r="B170" s="64" t="s">
        <v>207</v>
      </c>
      <c r="C170" s="42">
        <v>2750</v>
      </c>
      <c r="D170" s="64" t="s">
        <v>169</v>
      </c>
      <c r="E170" s="64" t="s">
        <v>170</v>
      </c>
      <c r="F170" s="15"/>
      <c r="G170" s="15"/>
      <c r="H170" s="15"/>
      <c r="I170" s="15"/>
      <c r="J170" s="15"/>
      <c r="K170" s="15"/>
    </row>
    <row r="171" spans="1:11">
      <c r="A171" s="13"/>
      <c r="B171" s="64" t="s">
        <v>208</v>
      </c>
      <c r="C171" s="42">
        <v>18000</v>
      </c>
      <c r="D171" s="64" t="s">
        <v>169</v>
      </c>
      <c r="E171" s="64" t="s">
        <v>170</v>
      </c>
      <c r="F171" s="15"/>
      <c r="G171" s="15"/>
      <c r="H171" s="15"/>
      <c r="I171" s="15"/>
      <c r="J171" s="15"/>
      <c r="K171" s="15"/>
    </row>
    <row r="172" spans="1:11">
      <c r="A172" s="13"/>
      <c r="B172" s="64" t="s">
        <v>209</v>
      </c>
      <c r="C172" s="42">
        <v>14000</v>
      </c>
      <c r="D172" s="64" t="s">
        <v>169</v>
      </c>
      <c r="E172" s="64" t="s">
        <v>170</v>
      </c>
      <c r="F172" s="15"/>
      <c r="G172" s="15"/>
      <c r="H172" s="15"/>
      <c r="I172" s="15"/>
      <c r="J172" s="15"/>
      <c r="K172" s="15"/>
    </row>
    <row r="173" spans="1:11">
      <c r="A173" s="13"/>
      <c r="B173" s="33" t="s">
        <v>207</v>
      </c>
      <c r="C173" s="50">
        <v>1003.342</v>
      </c>
      <c r="D173" s="17" t="s">
        <v>210</v>
      </c>
      <c r="E173" s="67" t="s">
        <v>211</v>
      </c>
      <c r="F173" s="15"/>
      <c r="G173" s="15"/>
      <c r="H173" s="15"/>
      <c r="I173" s="15"/>
      <c r="J173" s="15"/>
      <c r="K173" s="15"/>
    </row>
    <row r="174" spans="1:11">
      <c r="A174" s="13"/>
      <c r="B174" s="33" t="s">
        <v>212</v>
      </c>
      <c r="C174" s="47">
        <v>3.6</v>
      </c>
      <c r="D174" s="17" t="s">
        <v>213</v>
      </c>
      <c r="E174" s="67" t="s">
        <v>214</v>
      </c>
      <c r="F174" s="15"/>
      <c r="G174" s="38"/>
      <c r="H174" s="38"/>
      <c r="I174" s="38"/>
      <c r="J174" s="38"/>
      <c r="K174" s="38"/>
    </row>
    <row r="175" spans="1:11">
      <c r="A175" s="13"/>
      <c r="B175" s="33" t="s">
        <v>215</v>
      </c>
      <c r="C175" s="68">
        <v>30600</v>
      </c>
      <c r="D175" s="17" t="s">
        <v>216</v>
      </c>
      <c r="E175" s="67" t="s">
        <v>214</v>
      </c>
      <c r="F175" s="40"/>
      <c r="G175" s="40"/>
      <c r="H175" s="40"/>
      <c r="I175" s="40"/>
      <c r="J175" s="40"/>
      <c r="K175" s="40"/>
    </row>
    <row r="176" spans="1:11">
      <c r="A176" s="13"/>
      <c r="B176" s="33" t="s">
        <v>217</v>
      </c>
      <c r="C176" s="68">
        <v>18700</v>
      </c>
      <c r="D176" s="17" t="s">
        <v>216</v>
      </c>
      <c r="E176" s="67" t="s">
        <v>214</v>
      </c>
      <c r="F176" s="40"/>
      <c r="G176" s="40"/>
      <c r="H176" s="40"/>
      <c r="I176" s="40"/>
      <c r="J176" s="40"/>
      <c r="K176" s="40"/>
    </row>
    <row r="177" spans="1:11">
      <c r="A177" s="13"/>
      <c r="B177" s="33" t="s">
        <v>218</v>
      </c>
      <c r="C177" s="68">
        <v>25000</v>
      </c>
      <c r="D177" s="17" t="s">
        <v>216</v>
      </c>
      <c r="E177" s="67" t="s">
        <v>214</v>
      </c>
      <c r="F177" s="40"/>
      <c r="G177" s="40"/>
      <c r="H177" s="40"/>
      <c r="I177" s="40"/>
      <c r="J177" s="40"/>
      <c r="K177" s="40"/>
    </row>
    <row r="178" spans="1:11">
      <c r="A178" s="13"/>
      <c r="B178" s="33" t="s">
        <v>219</v>
      </c>
      <c r="C178" s="68">
        <v>19800</v>
      </c>
      <c r="D178" s="43" t="s">
        <v>216</v>
      </c>
      <c r="E178" s="67" t="s">
        <v>214</v>
      </c>
      <c r="F178" s="40"/>
      <c r="G178" s="40"/>
      <c r="H178" s="40"/>
      <c r="I178" s="40"/>
      <c r="J178" s="40"/>
      <c r="K178" s="40"/>
    </row>
    <row r="179" spans="1:11">
      <c r="A179" s="69"/>
      <c r="B179" s="33" t="s">
        <v>220</v>
      </c>
      <c r="C179" s="68">
        <f>C146</f>
        <v>25.31</v>
      </c>
      <c r="D179" s="70" t="str">
        <f>D146</f>
        <v>MJ / litre</v>
      </c>
      <c r="E179" s="70" t="str">
        <f>E146</f>
        <v>StatsCan, 2005. Report on Energy Supply and Demand in Canada.</v>
      </c>
      <c r="F179" s="15"/>
      <c r="G179" s="15"/>
      <c r="H179" s="15"/>
      <c r="I179" s="15"/>
      <c r="J179" s="15"/>
      <c r="K179" s="15"/>
    </row>
    <row r="180" spans="1:11">
      <c r="A180" s="71"/>
      <c r="B180" s="33" t="s">
        <v>221</v>
      </c>
      <c r="C180" s="68">
        <v>27000</v>
      </c>
      <c r="D180" s="72" t="s">
        <v>222</v>
      </c>
      <c r="E180" s="15" t="s">
        <v>223</v>
      </c>
      <c r="F180" s="15"/>
      <c r="G180" s="15"/>
      <c r="H180" s="15"/>
      <c r="I180" s="15"/>
      <c r="J180" s="15"/>
      <c r="K180" s="15"/>
    </row>
    <row r="181" spans="1:11">
      <c r="A181" s="71"/>
      <c r="B181" s="33" t="s">
        <v>224</v>
      </c>
      <c r="C181" s="68">
        <v>32000</v>
      </c>
      <c r="D181" s="72" t="s">
        <v>222</v>
      </c>
      <c r="E181" s="15" t="s">
        <v>223</v>
      </c>
      <c r="F181" s="15"/>
      <c r="G181" s="15"/>
      <c r="H181" s="15"/>
      <c r="I181" s="15"/>
      <c r="J181" s="15"/>
      <c r="K181" s="15"/>
    </row>
    <row r="182" spans="1:11">
      <c r="A182" s="71"/>
      <c r="B182" s="33"/>
      <c r="C182" s="73"/>
      <c r="D182" s="17"/>
      <c r="E182" s="74"/>
      <c r="F182" s="15"/>
      <c r="G182" s="15"/>
      <c r="H182" s="15"/>
      <c r="I182" s="15"/>
      <c r="J182" s="15"/>
      <c r="K182" s="15"/>
    </row>
    <row r="183" spans="1:11">
      <c r="A183" s="71"/>
      <c r="B183" s="33"/>
      <c r="C183" s="73"/>
      <c r="D183" s="17"/>
      <c r="E183" s="74"/>
      <c r="F183" s="15"/>
      <c r="G183" s="15"/>
      <c r="H183" s="15"/>
      <c r="I183" s="15"/>
      <c r="J183" s="15"/>
      <c r="K183" s="15"/>
    </row>
    <row r="184" spans="1:11" ht="17">
      <c r="A184" s="14" t="s">
        <v>225</v>
      </c>
      <c r="B184" s="33"/>
      <c r="C184" s="73"/>
      <c r="D184" s="17"/>
      <c r="E184" s="74"/>
      <c r="F184" s="15"/>
      <c r="G184" s="15"/>
      <c r="H184" s="15"/>
      <c r="I184" s="15"/>
      <c r="J184" s="15"/>
      <c r="K184" s="15"/>
    </row>
    <row r="185" spans="1:11">
      <c r="A185" s="71"/>
      <c r="B185" s="33"/>
      <c r="C185" s="73"/>
      <c r="D185" s="17"/>
      <c r="E185" s="74"/>
      <c r="F185" s="15"/>
      <c r="G185" s="15"/>
      <c r="H185" s="15"/>
      <c r="I185" s="15"/>
      <c r="J185" s="15"/>
      <c r="K185" s="15"/>
    </row>
    <row r="186" spans="1:11">
      <c r="A186" s="71"/>
      <c r="B186" s="33" t="s">
        <v>226</v>
      </c>
      <c r="C186" s="75">
        <v>507</v>
      </c>
      <c r="D186" s="43" t="s">
        <v>227</v>
      </c>
      <c r="E186" s="15" t="s">
        <v>228</v>
      </c>
      <c r="F186" s="15"/>
      <c r="G186" s="15"/>
      <c r="H186" s="15"/>
      <c r="I186" s="15"/>
      <c r="J186" s="15"/>
      <c r="K186" s="15"/>
    </row>
    <row r="187" spans="1:11">
      <c r="A187" s="71"/>
      <c r="B187" s="33" t="s">
        <v>226</v>
      </c>
      <c r="C187" s="75">
        <f>C186/1000</f>
        <v>0.50700000000000001</v>
      </c>
      <c r="D187" s="43" t="s">
        <v>229</v>
      </c>
      <c r="E187" s="15" t="s">
        <v>228</v>
      </c>
      <c r="F187" s="15"/>
      <c r="G187" s="15"/>
      <c r="H187" s="15"/>
      <c r="I187" s="15"/>
      <c r="J187" s="15"/>
      <c r="K187" s="15"/>
    </row>
    <row r="188" spans="1:11">
      <c r="A188" s="71"/>
      <c r="B188" s="33" t="s">
        <v>230</v>
      </c>
      <c r="C188" s="45">
        <v>0.67300000000000004</v>
      </c>
      <c r="D188" s="43" t="s">
        <v>227</v>
      </c>
      <c r="E188" s="15" t="s">
        <v>228</v>
      </c>
      <c r="F188" s="15"/>
      <c r="G188" s="15"/>
      <c r="H188" s="15"/>
      <c r="I188" s="15"/>
      <c r="J188" s="15"/>
      <c r="K188" s="15"/>
    </row>
    <row r="189" spans="1:11">
      <c r="A189" s="71"/>
      <c r="B189" s="33" t="s">
        <v>231</v>
      </c>
      <c r="C189" s="58">
        <v>0.68</v>
      </c>
      <c r="D189" s="33" t="s">
        <v>232</v>
      </c>
      <c r="E189" s="36" t="s">
        <v>233</v>
      </c>
      <c r="F189" s="15"/>
      <c r="G189" s="15"/>
      <c r="H189" s="15"/>
      <c r="I189" s="15"/>
      <c r="J189" s="15"/>
      <c r="K189" s="15"/>
    </row>
    <row r="190" spans="1:11">
      <c r="A190" s="71"/>
      <c r="B190" s="33"/>
      <c r="C190" s="73"/>
      <c r="D190" s="17"/>
      <c r="E190" s="74"/>
      <c r="F190" s="15"/>
      <c r="G190" s="15"/>
      <c r="H190" s="15"/>
      <c r="I190" s="15"/>
      <c r="J190" s="15"/>
      <c r="K190" s="15"/>
    </row>
    <row r="191" spans="1:11">
      <c r="A191" s="71"/>
      <c r="B191" s="46" t="s">
        <v>234</v>
      </c>
      <c r="C191" s="73">
        <v>507.5</v>
      </c>
      <c r="D191" s="17" t="s">
        <v>227</v>
      </c>
      <c r="E191" s="76" t="s">
        <v>235</v>
      </c>
      <c r="F191" s="15"/>
      <c r="G191" s="15"/>
      <c r="H191" s="15"/>
      <c r="I191" s="15"/>
      <c r="J191" s="15"/>
      <c r="K191" s="15"/>
    </row>
    <row r="192" spans="1:11">
      <c r="A192" s="71"/>
      <c r="B192" s="46" t="s">
        <v>236</v>
      </c>
      <c r="C192" s="73">
        <v>468.7</v>
      </c>
      <c r="D192" s="17" t="s">
        <v>227</v>
      </c>
      <c r="E192" s="76" t="s">
        <v>235</v>
      </c>
      <c r="F192" s="15"/>
      <c r="G192" s="15"/>
      <c r="H192" s="15"/>
      <c r="I192" s="15"/>
      <c r="J192" s="15"/>
      <c r="K192" s="15"/>
    </row>
    <row r="193" spans="1:11">
      <c r="A193" s="71"/>
      <c r="B193" s="46" t="s">
        <v>237</v>
      </c>
      <c r="C193" s="73">
        <v>704.4</v>
      </c>
      <c r="D193" s="17" t="s">
        <v>227</v>
      </c>
      <c r="E193" s="76" t="s">
        <v>235</v>
      </c>
      <c r="F193" s="15"/>
      <c r="G193" s="15"/>
      <c r="H193" s="15"/>
      <c r="I193" s="15"/>
      <c r="J193" s="15"/>
      <c r="K193" s="15"/>
    </row>
    <row r="194" spans="1:11">
      <c r="A194" s="71"/>
      <c r="B194" s="46" t="s">
        <v>238</v>
      </c>
      <c r="C194" s="73">
        <v>745.2</v>
      </c>
      <c r="D194" s="17" t="s">
        <v>227</v>
      </c>
      <c r="E194" s="76" t="s">
        <v>235</v>
      </c>
      <c r="F194" s="15"/>
      <c r="G194" s="15"/>
      <c r="H194" s="15"/>
      <c r="I194" s="15"/>
      <c r="J194" s="15"/>
      <c r="K194" s="15"/>
    </row>
    <row r="195" spans="1:11">
      <c r="A195" s="71"/>
      <c r="B195" s="46" t="s">
        <v>239</v>
      </c>
      <c r="C195" s="73">
        <v>807.4</v>
      </c>
      <c r="D195" s="17" t="s">
        <v>227</v>
      </c>
      <c r="E195" s="76" t="s">
        <v>235</v>
      </c>
      <c r="F195" s="15"/>
      <c r="G195" s="15"/>
      <c r="H195" s="15"/>
      <c r="I195" s="15"/>
      <c r="J195" s="15"/>
      <c r="K195" s="15"/>
    </row>
    <row r="196" spans="1:11">
      <c r="A196" s="71"/>
      <c r="B196" s="46" t="s">
        <v>240</v>
      </c>
      <c r="C196" s="73">
        <v>807.4</v>
      </c>
      <c r="D196" s="17" t="s">
        <v>227</v>
      </c>
      <c r="E196" s="76" t="s">
        <v>235</v>
      </c>
      <c r="F196" s="15"/>
      <c r="G196" s="15"/>
      <c r="H196" s="15"/>
      <c r="I196" s="15"/>
      <c r="J196" s="15"/>
      <c r="K196" s="15"/>
    </row>
    <row r="197" spans="1:11">
      <c r="A197" s="71"/>
      <c r="B197" s="46" t="s">
        <v>241</v>
      </c>
      <c r="C197" s="73">
        <v>839.5</v>
      </c>
      <c r="D197" s="17" t="s">
        <v>227</v>
      </c>
      <c r="E197" s="76" t="s">
        <v>235</v>
      </c>
      <c r="F197" s="15"/>
      <c r="G197" s="15"/>
      <c r="H197" s="15"/>
      <c r="I197" s="15"/>
      <c r="J197" s="15"/>
      <c r="K197" s="15"/>
    </row>
    <row r="198" spans="1:11">
      <c r="A198" s="71"/>
      <c r="B198" s="46" t="s">
        <v>242</v>
      </c>
      <c r="C198" s="73">
        <v>839.5</v>
      </c>
      <c r="D198" s="17" t="s">
        <v>227</v>
      </c>
      <c r="E198" s="76" t="s">
        <v>235</v>
      </c>
      <c r="F198" s="15"/>
      <c r="G198" s="15"/>
      <c r="H198" s="15"/>
      <c r="I198" s="15"/>
      <c r="J198" s="15"/>
      <c r="K198" s="15"/>
    </row>
    <row r="199" spans="1:11">
      <c r="A199" s="71"/>
      <c r="B199" s="46" t="s">
        <v>243</v>
      </c>
      <c r="C199" s="73">
        <v>992.8</v>
      </c>
      <c r="D199" s="17" t="s">
        <v>227</v>
      </c>
      <c r="E199" s="76" t="s">
        <v>235</v>
      </c>
      <c r="F199" s="15"/>
      <c r="G199" s="15"/>
      <c r="H199" s="15"/>
      <c r="I199" s="15"/>
      <c r="J199" s="15"/>
      <c r="K199" s="15"/>
    </row>
    <row r="200" spans="1:11">
      <c r="A200" s="71"/>
      <c r="B200" s="46" t="s">
        <v>244</v>
      </c>
      <c r="C200" s="73">
        <v>999.7</v>
      </c>
      <c r="D200" s="17" t="s">
        <v>227</v>
      </c>
      <c r="E200" s="76" t="s">
        <v>235</v>
      </c>
      <c r="F200" s="15"/>
      <c r="G200" s="15"/>
      <c r="H200" s="15"/>
      <c r="I200" s="15"/>
      <c r="J200" s="15"/>
      <c r="K200" s="15"/>
    </row>
    <row r="201" spans="1:11">
      <c r="A201" s="71"/>
      <c r="B201" s="46" t="s">
        <v>245</v>
      </c>
      <c r="C201" s="73">
        <v>1199.3</v>
      </c>
      <c r="D201" s="17" t="s">
        <v>227</v>
      </c>
      <c r="E201" s="76" t="s">
        <v>235</v>
      </c>
      <c r="F201" s="15"/>
      <c r="G201" s="15"/>
      <c r="H201" s="15"/>
      <c r="I201" s="15"/>
      <c r="J201" s="15"/>
      <c r="K201" s="15"/>
    </row>
    <row r="202" spans="1:11">
      <c r="A202" s="71"/>
      <c r="B202" s="46" t="s">
        <v>246</v>
      </c>
      <c r="C202" s="73">
        <v>938.9</v>
      </c>
      <c r="D202" s="17" t="s">
        <v>227</v>
      </c>
      <c r="E202" s="76" t="s">
        <v>235</v>
      </c>
      <c r="F202" s="15"/>
      <c r="G202" s="15"/>
      <c r="H202" s="15"/>
      <c r="I202" s="15"/>
      <c r="J202" s="15"/>
      <c r="K202" s="15"/>
    </row>
    <row r="203" spans="1:11">
      <c r="A203" s="71"/>
      <c r="B203" s="33"/>
      <c r="C203" s="73"/>
      <c r="D203" s="17"/>
      <c r="E203" s="74"/>
      <c r="F203" s="15"/>
      <c r="G203" s="15"/>
      <c r="H203" s="15"/>
      <c r="I203" s="15"/>
      <c r="J203" s="15"/>
      <c r="K203" s="15"/>
    </row>
    <row r="204" spans="1:11">
      <c r="C204" s="54"/>
      <c r="D204" s="53"/>
    </row>
    <row r="205" spans="1:11">
      <c r="C205" s="54"/>
      <c r="D205" s="53"/>
    </row>
    <row r="206" spans="1:11">
      <c r="C206" s="54"/>
      <c r="D206" s="53"/>
    </row>
    <row r="207" spans="1:11">
      <c r="C207" s="54"/>
      <c r="D207" s="53"/>
    </row>
    <row r="208" spans="1:11">
      <c r="C208" s="54"/>
      <c r="D208" s="53"/>
    </row>
    <row r="209" spans="1:4">
      <c r="A209" s="77" t="s">
        <v>247</v>
      </c>
      <c r="C209" s="54"/>
      <c r="D209" s="53"/>
    </row>
    <row r="210" spans="1:4">
      <c r="C210" s="54"/>
      <c r="D210" s="53"/>
    </row>
    <row r="211" spans="1:4">
      <c r="C211" s="54"/>
      <c r="D211" s="53"/>
    </row>
  </sheetData>
  <conditionalFormatting sqref="B103:E104 B101:D102">
    <cfRule type="cellIs" dxfId="1" priority="2" operator="equal">
      <formula>"DNR"</formula>
    </cfRule>
  </conditionalFormatting>
  <conditionalFormatting sqref="B130:E132 B129:D129">
    <cfRule type="cellIs" dxfId="0" priority="1" operator="equal">
      <formula>"DNR"</formula>
    </cfRule>
  </conditionalFormatting>
  <hyperlinks>
    <hyperlink ref="D2" r:id="rId1" display="matthewm@pembina.org"/>
    <hyperlink ref="D5" r:id="rId2" display="richw@pembina.org"/>
    <hyperlink ref="D3" r:id="rId3" display="jeremym@pembina.org"/>
    <hyperlink ref="E108" r:id="rId4"/>
    <hyperlink ref="E109" r:id="rId5"/>
    <hyperlink ref="E96" r:id="rId6"/>
    <hyperlink ref="E110" r:id="rId7"/>
    <hyperlink ref="E77" r:id="rId8"/>
    <hyperlink ref="E82" r:id="rId9"/>
    <hyperlink ref="E80" r:id="rId10"/>
    <hyperlink ref="E106" r:id="rId11"/>
    <hyperlink ref="E78" r:id="rId12"/>
    <hyperlink ref="E74" r:id="rId13"/>
    <hyperlink ref="E116" r:id="rId14"/>
    <hyperlink ref="E90" r:id="rId15"/>
    <hyperlink ref="E91" r:id="rId16"/>
    <hyperlink ref="E92" r:id="rId17"/>
    <hyperlink ref="E107" r:id="rId18"/>
    <hyperlink ref="E97" r:id="rId19"/>
    <hyperlink ref="E83" r:id="rId20"/>
    <hyperlink ref="E117" r:id="rId21"/>
    <hyperlink ref="E118" r:id="rId22"/>
    <hyperlink ref="E119" r:id="rId23"/>
    <hyperlink ref="E120" r:id="rId24"/>
    <hyperlink ref="E121" r:id="rId25"/>
    <hyperlink ref="E84" r:id="rId26"/>
    <hyperlink ref="E122" r:id="rId27"/>
    <hyperlink ref="E123" r:id="rId28"/>
    <hyperlink ref="E75" r:id="rId29"/>
    <hyperlink ref="E76" r:id="rId30"/>
    <hyperlink ref="E124" r:id="rId31"/>
    <hyperlink ref="E125" r:id="rId32"/>
    <hyperlink ref="E85" r:id="rId33"/>
    <hyperlink ref="E126" r:id="rId34"/>
    <hyperlink ref="E127" r:id="rId35"/>
    <hyperlink ref="E128" r:id="rId36"/>
    <hyperlink ref="E129" r:id="rId37"/>
    <hyperlink ref="E101" r:id="rId38"/>
    <hyperlink ref="E102" r:id="rId39"/>
    <hyperlink ref="E86" r:id="rId40"/>
    <hyperlink ref="E87" r:id="rId41"/>
  </hyperlinks>
  <pageMargins left="0.7" right="0.7" top="0.75" bottom="0.75" header="0.3" footer="0.3"/>
  <pageSetup orientation="portrait" horizontalDpi="4294967292" verticalDpi="4294967292"/>
  <legacyDrawing r:id="rId4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Summary</vt:lpstr>
      <vt:lpstr>Figure</vt:lpstr>
      <vt:lpstr>Calculations</vt:lpstr>
      <vt:lpstr>Sources</vt:lpstr>
      <vt:lpstr>ABB report</vt:lpstr>
      <vt:lpstr>AlliancePipeline</vt:lpstr>
      <vt:lpstr>NEB-MarketableNG productn-2005</vt:lpstr>
      <vt:lpstr>GHG Inventory - BC</vt:lpstr>
      <vt:lpstr>Factors</vt:lpstr>
    </vt:vector>
  </TitlesOfParts>
  <Company>Pembina Institute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Bailie</dc:creator>
  <cp:lastModifiedBy>Kevin Sauvé</cp:lastModifiedBy>
  <cp:lastPrinted>2012-02-15T19:31:16Z</cp:lastPrinted>
  <dcterms:created xsi:type="dcterms:W3CDTF">2012-02-09T04:49:17Z</dcterms:created>
  <dcterms:modified xsi:type="dcterms:W3CDTF">2012-02-15T19:32:11Z</dcterms:modified>
</cp:coreProperties>
</file>