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0" yWindow="0" windowWidth="24640" windowHeight="15620" activeTab="2"/>
  </bookViews>
  <sheets>
    <sheet name="Energy LRB Changes" sheetId="1" r:id="rId1"/>
    <sheet name="LRB 2011 and 2013 estimates" sheetId="3" r:id="rId2"/>
    <sheet name="difference 2013-2011" sheetId="2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513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cessDatabase" hidden="1">"J:\data\PS\pso\IO&amp;RM\jdb\r2d2\MCMResults.mdb"</definedName>
    <definedName name="_xlnm.Print_Area" localSheetId="0">'Energy LRB Changes'!$A$1:$S$44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t" hidden="1">{#N/A,#N/A,FALSE,"Vehicle $ Comparison "}</definedName>
    <definedName name="wrn.Budget._.Base." hidden="1">{#N/A,#N/A,FALSE,"Base Budget"}</definedName>
    <definedName name="wrn.Budget._.Projects." hidden="1">{#N/A,#N/A,FALSE,"Project Budget"}</definedName>
    <definedName name="wrn.Budget._.Total." hidden="1">{#N/A,#N/A,FALSE,"Total Budget"}</definedName>
    <definedName name="wrn.Comparative._.Contract._.Dollars." hidden="1">{#N/A,#N/A,FALSE,"Contract $ Comparison "}</definedName>
    <definedName name="wrn.Comparative._.Hours." hidden="1">{#N/A,#N/A,FALSE,"Hours Comparison"}</definedName>
    <definedName name="wrn.Comparative._.Labour._.Dollars." hidden="1">{#N/A,#N/A,FALSE,"Labour $ Comparison "}</definedName>
    <definedName name="wrn.Comparative._.Material._.Dollars." hidden="1">{#N/A,#N/A,FALSE,"Material $ Comparison"}</definedName>
    <definedName name="wrn.Comparative._.Total._.Dollars." hidden="1">{#N/A,#N/A,FALSE,"Total $ Comparison "}</definedName>
    <definedName name="wrn.Comparative._.Vehicle._.Dollars." hidden="1">{#N/A,#N/A,FALSE,"Vehicle $ Comparison "}</definedName>
    <definedName name="wrn.FWD._.BOOK." hidden="1">{#N/A,#N/A,FALSE,"_fwd11";#N/A,#N/A,FALSE,"_fwd10";#N/A,#N/A,FALSE,"_fwd09";#N/A,#N/A,FALSE,"_fwd08"}</definedName>
    <definedName name="wrn.Summary." hidden="1">{#N/A,#N/A,FALSE,"Summary"}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0" i="1" l="1"/>
  <c r="T48" i="1"/>
  <c r="T46" i="1"/>
  <c r="T44" i="1"/>
  <c r="T38" i="1"/>
  <c r="T32" i="1"/>
  <c r="T20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7" i="1"/>
  <c r="E66" i="1"/>
  <c r="E14" i="1"/>
  <c r="E53" i="1"/>
  <c r="E64" i="1"/>
  <c r="F14" i="1"/>
  <c r="F53" i="1"/>
  <c r="F64" i="1"/>
  <c r="G14" i="1"/>
  <c r="G53" i="1"/>
  <c r="G64" i="1"/>
  <c r="H14" i="1"/>
  <c r="H53" i="1"/>
  <c r="H64" i="1"/>
  <c r="I14" i="1"/>
  <c r="I53" i="1"/>
  <c r="I64" i="1"/>
  <c r="J14" i="1"/>
  <c r="J53" i="1"/>
  <c r="J64" i="1"/>
  <c r="K14" i="1"/>
  <c r="K53" i="1"/>
  <c r="K64" i="1"/>
  <c r="L14" i="1"/>
  <c r="L53" i="1"/>
  <c r="L64" i="1"/>
  <c r="M14" i="1"/>
  <c r="M53" i="1"/>
  <c r="M64" i="1"/>
  <c r="N14" i="1"/>
  <c r="N53" i="1"/>
  <c r="N64" i="1"/>
  <c r="O14" i="1"/>
  <c r="O53" i="1"/>
  <c r="O64" i="1"/>
  <c r="P14" i="1"/>
  <c r="P53" i="1"/>
  <c r="P64" i="1"/>
  <c r="Q14" i="1"/>
  <c r="Q53" i="1"/>
  <c r="Q64" i="1"/>
  <c r="R14" i="1"/>
  <c r="R53" i="1"/>
  <c r="R64" i="1"/>
  <c r="S14" i="1"/>
  <c r="S53" i="1"/>
  <c r="S64" i="1"/>
  <c r="T64" i="1"/>
  <c r="E52" i="1"/>
  <c r="E55" i="1"/>
  <c r="E56" i="1"/>
  <c r="E58" i="1"/>
  <c r="E59" i="1"/>
  <c r="E61" i="1"/>
  <c r="E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T53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T62" i="1"/>
  <c r="T59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T26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T61" i="1"/>
  <c r="T58" i="1"/>
  <c r="T55" i="1"/>
  <c r="S18" i="1"/>
  <c r="S24" i="1"/>
  <c r="S30" i="1"/>
  <c r="S36" i="1"/>
  <c r="S42" i="1"/>
  <c r="S46" i="1"/>
  <c r="S50" i="1"/>
  <c r="R18" i="1"/>
  <c r="R24" i="1"/>
  <c r="R30" i="1"/>
  <c r="R36" i="1"/>
  <c r="R42" i="1"/>
  <c r="R46" i="1"/>
  <c r="R50" i="1"/>
  <c r="Q18" i="1"/>
  <c r="Q24" i="1"/>
  <c r="Q30" i="1"/>
  <c r="Q36" i="1"/>
  <c r="Q42" i="1"/>
  <c r="Q46" i="1"/>
  <c r="Q50" i="1"/>
  <c r="P18" i="1"/>
  <c r="P24" i="1"/>
  <c r="P30" i="1"/>
  <c r="P36" i="1"/>
  <c r="P42" i="1"/>
  <c r="P46" i="1"/>
  <c r="P50" i="1"/>
  <c r="O18" i="1"/>
  <c r="O24" i="1"/>
  <c r="O30" i="1"/>
  <c r="O36" i="1"/>
  <c r="O42" i="1"/>
  <c r="O46" i="1"/>
  <c r="O50" i="1"/>
  <c r="N18" i="1"/>
  <c r="N24" i="1"/>
  <c r="N30" i="1"/>
  <c r="N36" i="1"/>
  <c r="N42" i="1"/>
  <c r="N46" i="1"/>
  <c r="N50" i="1"/>
  <c r="M18" i="1"/>
  <c r="M24" i="1"/>
  <c r="M30" i="1"/>
  <c r="M36" i="1"/>
  <c r="M42" i="1"/>
  <c r="M46" i="1"/>
  <c r="M50" i="1"/>
  <c r="L18" i="1"/>
  <c r="L24" i="1"/>
  <c r="L30" i="1"/>
  <c r="L36" i="1"/>
  <c r="L42" i="1"/>
  <c r="L46" i="1"/>
  <c r="L50" i="1"/>
  <c r="K18" i="1"/>
  <c r="K24" i="1"/>
  <c r="K30" i="1"/>
  <c r="K36" i="1"/>
  <c r="K42" i="1"/>
  <c r="K46" i="1"/>
  <c r="K50" i="1"/>
  <c r="J18" i="1"/>
  <c r="J24" i="1"/>
  <c r="J30" i="1"/>
  <c r="J36" i="1"/>
  <c r="J42" i="1"/>
  <c r="J46" i="1"/>
  <c r="J50" i="1"/>
  <c r="I18" i="1"/>
  <c r="I24" i="1"/>
  <c r="I30" i="1"/>
  <c r="I36" i="1"/>
  <c r="I42" i="1"/>
  <c r="I46" i="1"/>
  <c r="I50" i="1"/>
  <c r="H18" i="1"/>
  <c r="H24" i="1"/>
  <c r="H30" i="1"/>
  <c r="H36" i="1"/>
  <c r="H42" i="1"/>
  <c r="H46" i="1"/>
  <c r="H50" i="1"/>
  <c r="G18" i="1"/>
  <c r="G24" i="1"/>
  <c r="G30" i="1"/>
  <c r="G36" i="1"/>
  <c r="G42" i="1"/>
  <c r="G46" i="1"/>
  <c r="G50" i="1"/>
  <c r="F18" i="1"/>
  <c r="F24" i="1"/>
  <c r="F30" i="1"/>
  <c r="F36" i="1"/>
  <c r="F42" i="1"/>
  <c r="F46" i="1"/>
  <c r="F50" i="1"/>
  <c r="E18" i="1"/>
  <c r="E24" i="1"/>
  <c r="E30" i="1"/>
  <c r="E36" i="1"/>
  <c r="E42" i="1"/>
  <c r="E46" i="1"/>
  <c r="E50" i="1"/>
  <c r="F16" i="1"/>
  <c r="F22" i="1"/>
  <c r="F28" i="1"/>
  <c r="F34" i="1"/>
  <c r="F40" i="1"/>
  <c r="F44" i="1"/>
  <c r="F48" i="1"/>
  <c r="G16" i="1"/>
  <c r="G22" i="1"/>
  <c r="G28" i="1"/>
  <c r="G34" i="1"/>
  <c r="G40" i="1"/>
  <c r="G44" i="1"/>
  <c r="G48" i="1"/>
  <c r="H16" i="1"/>
  <c r="H22" i="1"/>
  <c r="H28" i="1"/>
  <c r="H34" i="1"/>
  <c r="H40" i="1"/>
  <c r="H44" i="1"/>
  <c r="H48" i="1"/>
  <c r="I16" i="1"/>
  <c r="I22" i="1"/>
  <c r="I28" i="1"/>
  <c r="I34" i="1"/>
  <c r="I40" i="1"/>
  <c r="I44" i="1"/>
  <c r="I48" i="1"/>
  <c r="J16" i="1"/>
  <c r="J22" i="1"/>
  <c r="J28" i="1"/>
  <c r="J34" i="1"/>
  <c r="J40" i="1"/>
  <c r="J44" i="1"/>
  <c r="J48" i="1"/>
  <c r="K16" i="1"/>
  <c r="K22" i="1"/>
  <c r="K28" i="1"/>
  <c r="K34" i="1"/>
  <c r="K40" i="1"/>
  <c r="K44" i="1"/>
  <c r="K48" i="1"/>
  <c r="L16" i="1"/>
  <c r="L22" i="1"/>
  <c r="L28" i="1"/>
  <c r="L34" i="1"/>
  <c r="L40" i="1"/>
  <c r="L44" i="1"/>
  <c r="L48" i="1"/>
  <c r="M16" i="1"/>
  <c r="M22" i="1"/>
  <c r="M28" i="1"/>
  <c r="M34" i="1"/>
  <c r="M40" i="1"/>
  <c r="M44" i="1"/>
  <c r="M48" i="1"/>
  <c r="N16" i="1"/>
  <c r="N22" i="1"/>
  <c r="N28" i="1"/>
  <c r="N34" i="1"/>
  <c r="N40" i="1"/>
  <c r="N44" i="1"/>
  <c r="N48" i="1"/>
  <c r="O16" i="1"/>
  <c r="O22" i="1"/>
  <c r="O28" i="1"/>
  <c r="O34" i="1"/>
  <c r="O40" i="1"/>
  <c r="O44" i="1"/>
  <c r="O48" i="1"/>
  <c r="P16" i="1"/>
  <c r="P22" i="1"/>
  <c r="P28" i="1"/>
  <c r="P34" i="1"/>
  <c r="P40" i="1"/>
  <c r="P44" i="1"/>
  <c r="P48" i="1"/>
  <c r="Q16" i="1"/>
  <c r="Q22" i="1"/>
  <c r="Q28" i="1"/>
  <c r="Q34" i="1"/>
  <c r="Q40" i="1"/>
  <c r="Q44" i="1"/>
  <c r="Q48" i="1"/>
  <c r="R16" i="1"/>
  <c r="R22" i="1"/>
  <c r="R28" i="1"/>
  <c r="R34" i="1"/>
  <c r="R40" i="1"/>
  <c r="R44" i="1"/>
  <c r="R48" i="1"/>
  <c r="S16" i="1"/>
  <c r="S22" i="1"/>
  <c r="S28" i="1"/>
  <c r="S34" i="1"/>
  <c r="S40" i="1"/>
  <c r="S44" i="1"/>
  <c r="S48" i="1"/>
  <c r="E16" i="1"/>
  <c r="E22" i="1"/>
  <c r="E28" i="1"/>
  <c r="E34" i="1"/>
  <c r="E40" i="1"/>
  <c r="E44" i="1"/>
  <c r="E48" i="1"/>
</calcChain>
</file>

<file path=xl/sharedStrings.xml><?xml version="1.0" encoding="utf-8"?>
<sst xmlns="http://schemas.openxmlformats.org/spreadsheetml/2006/main" count="83" uniqueCount="81">
  <si>
    <t xml:space="preserve">System Annual Energy Load-Resource Balance Changes </t>
  </si>
  <si>
    <t>(GWh)</t>
  </si>
  <si>
    <t>F2017</t>
  </si>
  <si>
    <t>F2018</t>
  </si>
  <si>
    <t>F2019</t>
  </si>
  <si>
    <t>F2020</t>
  </si>
  <si>
    <t>F2021</t>
  </si>
  <si>
    <t>F2022</t>
  </si>
  <si>
    <t>F2023</t>
  </si>
  <si>
    <t>F2024</t>
  </si>
  <si>
    <t>F2025</t>
  </si>
  <si>
    <t>F2026</t>
  </si>
  <si>
    <t>F2027</t>
  </si>
  <si>
    <t>F2028</t>
  </si>
  <si>
    <t>F2029</t>
  </si>
  <si>
    <t>F2030</t>
  </si>
  <si>
    <t>F2031</t>
  </si>
  <si>
    <t>(a)</t>
  </si>
  <si>
    <t>(b)</t>
  </si>
  <si>
    <t>Add Average Water</t>
  </si>
  <si>
    <t xml:space="preserve">(c) </t>
  </si>
  <si>
    <r>
      <t xml:space="preserve">2012 Draft IRP Surplus / Deficit without Initial LNG </t>
    </r>
    <r>
      <rPr>
        <b/>
        <sz val="11"/>
        <color theme="1" tint="0.499984740745262"/>
        <rFont val="Arial"/>
        <family val="2"/>
      </rPr>
      <t>(Table 2-7 from 2012 Draft IRP)</t>
    </r>
  </si>
  <si>
    <t>(d) = a + c</t>
  </si>
  <si>
    <r>
      <t xml:space="preserve">2012 Draft IRP Surplus / Deficit with Initial LNG </t>
    </r>
    <r>
      <rPr>
        <b/>
        <sz val="11"/>
        <color theme="1" tint="0.499984740745262"/>
        <rFont val="Arial"/>
        <family val="2"/>
      </rPr>
      <t>(Table 2-7 from 2012 Draft IRP)</t>
    </r>
  </si>
  <si>
    <t>(e) = b + c</t>
  </si>
  <si>
    <t>Add Updates to IPP Volume, Timing, Attrition</t>
  </si>
  <si>
    <t>(f)</t>
  </si>
  <si>
    <t>Surplus / Deficit with 2011 Load Forecast without Initial LNG</t>
  </si>
  <si>
    <t>(g) = d + f</t>
  </si>
  <si>
    <t>Surplus / Deficit with 2011 Load Forecast with Initial LNG</t>
  </si>
  <si>
    <t>(h) = e + f</t>
  </si>
  <si>
    <t>(i)</t>
  </si>
  <si>
    <t>Surplus / Deficit with 2011 Load Forecast without LNG</t>
  </si>
  <si>
    <t>(j)  = g</t>
  </si>
  <si>
    <t>Surplus / Deficit with 2011 Load Forecast with Expected LNG</t>
  </si>
  <si>
    <t>(k) = h - i</t>
  </si>
  <si>
    <t>(l)</t>
  </si>
  <si>
    <r>
      <t xml:space="preserve">Surplus / Deficit with 2012 Load Forecast without LNG </t>
    </r>
    <r>
      <rPr>
        <b/>
        <sz val="11"/>
        <color theme="1" tint="0.499984740745262"/>
        <rFont val="Arial"/>
        <family val="2"/>
      </rPr>
      <t>(Table 4-2 from Aug 2013 IRP)</t>
    </r>
  </si>
  <si>
    <t>(m) = j - l</t>
  </si>
  <si>
    <r>
      <t xml:space="preserve">Surplus / Deficit with 2012 Load Forecast with Expected LNG </t>
    </r>
    <r>
      <rPr>
        <b/>
        <sz val="11"/>
        <color theme="1" tint="0.499984740745262"/>
        <rFont val="Arial"/>
        <family val="2"/>
      </rPr>
      <t>(Table 4-2 from Aug 2013 IRP)</t>
    </r>
  </si>
  <si>
    <t>(n) = k - l</t>
  </si>
  <si>
    <t xml:space="preserve">Add Energy Supply Management Actions </t>
  </si>
  <si>
    <t>(o)</t>
  </si>
  <si>
    <r>
      <t xml:space="preserve">Surplus / Deficit with 2012 Load Forecast without LNG </t>
    </r>
    <r>
      <rPr>
        <b/>
        <sz val="11"/>
        <color theme="1" tint="0.499984740745262"/>
        <rFont val="Arial"/>
        <family val="2"/>
      </rPr>
      <t>(Table 4-18 from Aug 2013 IRP)</t>
    </r>
  </si>
  <si>
    <t>(p) = m + o</t>
  </si>
  <si>
    <r>
      <t xml:space="preserve">Surplus / Deficit with 2012 Load Forecast with Expected LNG </t>
    </r>
    <r>
      <rPr>
        <b/>
        <sz val="11"/>
        <color theme="1" tint="0.499984740745262"/>
        <rFont val="Arial"/>
        <family val="2"/>
      </rPr>
      <t>(Table 4-18 from Aug 2013 IRP)</t>
    </r>
  </si>
  <si>
    <t>(q) = n + o</t>
  </si>
  <si>
    <t>Reduction from Initial LNG (4,900 GWh + losses = 5,300 GWh) to Expected LNG (3,000 GWh)</t>
  </si>
  <si>
    <t>Reduction in Load Forecast (2012 Load Forecast - 2011 Load Forecast)</t>
  </si>
  <si>
    <t>Note: All surplus/deficit values are after DSM.</t>
  </si>
  <si>
    <t>Remove Insurance</t>
  </si>
  <si>
    <t>sub-total</t>
  </si>
  <si>
    <t>2012 Draft IRP Surplus / Deficit with Critical Water, Insurance and Initial LNG</t>
  </si>
  <si>
    <t>2012 Draft IRP Surplus / Deficit with Critical Water, Insurance and without Initial LNG</t>
  </si>
  <si>
    <t>(s) = (q)-(b)</t>
  </si>
  <si>
    <t>(r) = (p)- (a)</t>
  </si>
  <si>
    <t>(u) = (s) / 5,100</t>
  </si>
  <si>
    <t>Change in LRB between the 2011 draft IRP and 2013 draft IRP, without LNG</t>
  </si>
  <si>
    <t>Change in LRB between the 2011 draft IRP and 2013 draft IRP, with LNG</t>
  </si>
  <si>
    <t>Change in LRB between the 2011 draft IRP and 2013 draft IRP, without LNG, expressed relative to average annual capacity of Site C</t>
  </si>
  <si>
    <t>Change in LRB between the 2011 draft IRP and 2013 draft IRP, with LNG, expressed relative to average annual capacity of Site C</t>
  </si>
  <si>
    <t>(c)/(v)</t>
  </si>
  <si>
    <t>(v)</t>
  </si>
  <si>
    <t>( (f)+(o) ) / (v)</t>
  </si>
  <si>
    <t>(l)/(v)</t>
  </si>
  <si>
    <t>Data source: BC Hydro, 2013, with additional analysis by Pembina Institute,  18 October 2013</t>
  </si>
  <si>
    <t>(t) = (r) / 5,100</t>
  </si>
  <si>
    <t>sum-check</t>
  </si>
  <si>
    <t>Total absolute change (irrespective of increase or decrease), without LNG</t>
  </si>
  <si>
    <t>Total absolute change (irrespective of increase or decrease), with LNG</t>
  </si>
  <si>
    <t>(w)</t>
  </si>
  <si>
    <t>Average F2017-F2031</t>
  </si>
  <si>
    <t>(i)/(w)</t>
  </si>
  <si>
    <t>(l)/(w)</t>
  </si>
  <si>
    <t>( (f)+(o) ) / (w)</t>
  </si>
  <si>
    <t>(c)/(w)</t>
  </si>
  <si>
    <t>Portion of total absolute changes due to Provincial policy changes, without LNG</t>
  </si>
  <si>
    <t>Portion of total absolute changes due to changes in supply, without LNG</t>
  </si>
  <si>
    <t>Portion of total absolute changes due to load change (other than LNG), without LNG</t>
  </si>
  <si>
    <t>Portion of total absolute changes due to changes in projected LNG load, with LNG</t>
  </si>
  <si>
    <t>… with LNG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</si>
</sst>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0.0,,;[Red]\(0.0,,\);0.0"/>
    <numFmt numFmtId="165" formatCode="0.0"/>
    <numFmt numFmtId="166" formatCode="0.0%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8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 tint="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6"/>
      </patternFill>
    </fill>
    <fill>
      <patternFill patternType="solid">
        <fgColor indexed="10"/>
      </patternFill>
    </fill>
    <fill>
      <patternFill patternType="mediumGray">
        <fgColor indexed="22"/>
      </patternFill>
    </fill>
  </fills>
  <borders count="19">
    <border>
      <left/>
      <right/>
      <top/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00B0F0"/>
      </right>
      <top/>
      <bottom/>
      <diagonal/>
    </border>
    <border>
      <left style="mediumDashed">
        <color rgb="FF00B0F0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Dashed">
        <color indexed="10"/>
      </left>
      <right/>
      <top style="medium">
        <color auto="1"/>
      </top>
      <bottom style="thin">
        <color auto="1"/>
      </bottom>
      <diagonal/>
    </border>
    <border>
      <left/>
      <right style="mediumDashed">
        <color rgb="FF00B0F0"/>
      </right>
      <top style="medium">
        <color auto="1"/>
      </top>
      <bottom style="thin">
        <color auto="1"/>
      </bottom>
      <diagonal/>
    </border>
    <border>
      <left style="mediumDashed">
        <color rgb="FF00B0F0"/>
      </left>
      <right/>
      <top style="medium">
        <color auto="1"/>
      </top>
      <bottom style="thin">
        <color auto="1"/>
      </bottom>
      <diagonal/>
    </border>
    <border>
      <left style="mediumDashed">
        <color indexed="10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Dashed">
        <color indexed="10"/>
      </left>
      <right/>
      <top style="thin">
        <color auto="1"/>
      </top>
      <bottom style="medium">
        <color auto="1"/>
      </bottom>
      <diagonal/>
    </border>
    <border>
      <left/>
      <right style="mediumDashed">
        <color rgb="FF00B0F0"/>
      </right>
      <top style="thin">
        <color auto="1"/>
      </top>
      <bottom style="medium">
        <color auto="1"/>
      </bottom>
      <diagonal/>
    </border>
    <border>
      <left style="mediumDashed">
        <color rgb="FF00B0F0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Dashed">
        <color indexed="10"/>
      </left>
      <right/>
      <top/>
      <bottom style="thin">
        <color auto="1"/>
      </bottom>
      <diagonal/>
    </border>
    <border>
      <left/>
      <right style="mediumDashed">
        <color rgb="FF00B0F0"/>
      </right>
      <top/>
      <bottom style="thin">
        <color auto="1"/>
      </bottom>
      <diagonal/>
    </border>
  </borders>
  <cellStyleXfs count="94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3" fillId="3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/>
    <xf numFmtId="0" fontId="16" fillId="0" borderId="14" applyBorder="0"/>
    <xf numFmtId="15" fontId="17" fillId="0" borderId="0"/>
    <xf numFmtId="0" fontId="2" fillId="2" borderId="0" applyNumberFormat="0" applyBorder="0" applyAlignment="0" applyProtection="0"/>
    <xf numFmtId="0" fontId="16" fillId="0" borderId="0"/>
    <xf numFmtId="0" fontId="1" fillId="0" borderId="0"/>
    <xf numFmtId="0" fontId="16" fillId="0" borderId="0"/>
    <xf numFmtId="164" fontId="17" fillId="0" borderId="0"/>
    <xf numFmtId="10" fontId="17" fillId="0" borderId="0" applyFont="0" applyFill="0" applyBorder="0" applyAlignment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20" fillId="0" borderId="15">
      <alignment horizontal="center"/>
    </xf>
    <xf numFmtId="3" fontId="19" fillId="0" borderId="0" applyFont="0" applyFill="0" applyBorder="0" applyAlignment="0" applyProtection="0"/>
    <xf numFmtId="0" fontId="19" fillId="6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10" xfId="0" applyNumberFormat="1" applyFont="1" applyFill="1" applyBorder="1" applyAlignment="1">
      <alignment vertical="center"/>
    </xf>
    <xf numFmtId="38" fontId="10" fillId="0" borderId="12" xfId="0" applyNumberFormat="1" applyFont="1" applyFill="1" applyBorder="1" applyAlignment="1">
      <alignment vertical="center"/>
    </xf>
    <xf numFmtId="38" fontId="10" fillId="0" borderId="1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0" fillId="0" borderId="9" xfId="0" applyNumberFormat="1" applyFont="1" applyFill="1" applyBorder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8" fontId="10" fillId="0" borderId="2" xfId="0" applyNumberFormat="1" applyFont="1" applyFill="1" applyBorder="1" applyAlignment="1">
      <alignment vertical="center"/>
    </xf>
    <xf numFmtId="38" fontId="10" fillId="0" borderId="3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12" fillId="0" borderId="9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0" applyFont="1" applyBorder="1"/>
    <xf numFmtId="0" fontId="0" fillId="0" borderId="16" xfId="0" applyBorder="1"/>
    <xf numFmtId="0" fontId="11" fillId="0" borderId="16" xfId="0" applyFont="1" applyBorder="1" applyAlignment="1">
      <alignment horizontal="center"/>
    </xf>
    <xf numFmtId="3" fontId="12" fillId="0" borderId="17" xfId="0" applyNumberFormat="1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0" borderId="18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38" fontId="8" fillId="0" borderId="3" xfId="0" applyNumberFormat="1" applyFont="1" applyFill="1" applyBorder="1" applyAlignment="1">
      <alignment horizontal="right" vertical="center" wrapText="1"/>
    </xf>
    <xf numFmtId="22" fontId="5" fillId="0" borderId="0" xfId="0" applyNumberFormat="1" applyFont="1" applyFill="1" applyAlignment="1">
      <alignment horizontal="center" vertical="center"/>
    </xf>
    <xf numFmtId="166" fontId="0" fillId="0" borderId="0" xfId="35" applyNumberFormat="1" applyFont="1"/>
    <xf numFmtId="166" fontId="0" fillId="0" borderId="0" xfId="0" applyNumberFormat="1"/>
    <xf numFmtId="0" fontId="23" fillId="0" borderId="0" xfId="0" applyFont="1"/>
    <xf numFmtId="0" fontId="11" fillId="0" borderId="0" xfId="0" quotePrefix="1" applyFont="1" applyAlignment="1">
      <alignment horizontal="center"/>
    </xf>
    <xf numFmtId="38" fontId="11" fillId="0" borderId="0" xfId="0" applyNumberFormat="1" applyFont="1"/>
    <xf numFmtId="165" fontId="11" fillId="0" borderId="0" xfId="0" applyNumberFormat="1" applyFont="1"/>
    <xf numFmtId="167" fontId="11" fillId="0" borderId="0" xfId="34" applyNumberFormat="1" applyFont="1"/>
    <xf numFmtId="166" fontId="11" fillId="0" borderId="0" xfId="35" applyNumberFormat="1" applyFont="1"/>
    <xf numFmtId="166" fontId="11" fillId="0" borderId="0" xfId="0" applyNumberFormat="1" applyFont="1"/>
    <xf numFmtId="43" fontId="11" fillId="0" borderId="0" xfId="34" applyFont="1"/>
    <xf numFmtId="0" fontId="8" fillId="0" borderId="0" xfId="0" applyFont="1" applyFill="1"/>
    <xf numFmtId="167" fontId="11" fillId="0" borderId="0" xfId="0" applyNumberFormat="1" applyFont="1"/>
    <xf numFmtId="1" fontId="11" fillId="0" borderId="0" xfId="34" applyNumberFormat="1" applyFont="1"/>
    <xf numFmtId="22" fontId="5" fillId="0" borderId="0" xfId="0" applyNumberFormat="1" applyFont="1" applyFill="1" applyAlignment="1">
      <alignment horizontal="center" vertical="center"/>
    </xf>
  </cellXfs>
  <cellStyles count="94">
    <cellStyle name="20% - Accent4 2" xfId="1"/>
    <cellStyle name="Accent2 2" xfId="2"/>
    <cellStyle name="Bad 2" xfId="3"/>
    <cellStyle name="Comma" xfId="34" builtinId="3"/>
    <cellStyle name="Comma 2" xfId="4"/>
    <cellStyle name="Comma 3" xfId="5"/>
    <cellStyle name="Comma Style (brackets)" xfId="6"/>
    <cellStyle name="Currency [0.00]" xfId="7"/>
    <cellStyle name="Date" xfId="8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Good 2" xfId="9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Normal" xfId="0" builtinId="0"/>
    <cellStyle name="Normal 2" xfId="10"/>
    <cellStyle name="Normal 3" xfId="11"/>
    <cellStyle name="Normal 4" xfId="12"/>
    <cellStyle name="nPlodedDetails" xfId="13"/>
    <cellStyle name="Percent" xfId="35" builtinId="5"/>
    <cellStyle name="Percent (2)" xfId="14"/>
    <cellStyle name="Percent 2" xfId="15"/>
    <cellStyle name="Percent 3" xfId="16"/>
    <cellStyle name="Percent 4" xfId="17"/>
    <cellStyle name="PSChar" xfId="18"/>
    <cellStyle name="PSDate" xfId="19"/>
    <cellStyle name="PSDec" xfId="20"/>
    <cellStyle name="PSHeading" xfId="21"/>
    <cellStyle name="PSInt" xfId="22"/>
    <cellStyle name="PSSpacer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and 2013 IRP Load Resource Balance estimates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301172906573"/>
          <c:y val="0.099194804434031"/>
          <c:w val="0.854446868042269"/>
          <c:h val="0.872525975003635"/>
        </c:manualLayout>
      </c:layout>
      <c:lineChart>
        <c:grouping val="standard"/>
        <c:varyColors val="0"/>
        <c:ser>
          <c:idx val="0"/>
          <c:order val="0"/>
          <c:tx>
            <c:v>without LNG (2011 estimate)</c:v>
          </c:tx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'Energy LRB Changes'!$E$6:$S$6</c:f>
              <c:strCache>
                <c:ptCount val="15"/>
                <c:pt idx="0">
                  <c:v>F2017</c:v>
                </c:pt>
                <c:pt idx="1">
                  <c:v>F2018</c:v>
                </c:pt>
                <c:pt idx="2">
                  <c:v>F2019</c:v>
                </c:pt>
                <c:pt idx="3">
                  <c:v>F2020</c:v>
                </c:pt>
                <c:pt idx="4">
                  <c:v>F2021</c:v>
                </c:pt>
                <c:pt idx="5">
                  <c:v>F2022</c:v>
                </c:pt>
                <c:pt idx="6">
                  <c:v>F2023</c:v>
                </c:pt>
                <c:pt idx="7">
                  <c:v>F2024</c:v>
                </c:pt>
                <c:pt idx="8">
                  <c:v>F2025</c:v>
                </c:pt>
                <c:pt idx="9">
                  <c:v>F2026</c:v>
                </c:pt>
                <c:pt idx="10">
                  <c:v>F2027</c:v>
                </c:pt>
                <c:pt idx="11">
                  <c:v>F2028</c:v>
                </c:pt>
                <c:pt idx="12">
                  <c:v>F2029</c:v>
                </c:pt>
                <c:pt idx="13">
                  <c:v>F2030</c:v>
                </c:pt>
                <c:pt idx="14">
                  <c:v>F2031</c:v>
                </c:pt>
              </c:strCache>
            </c:strRef>
          </c:cat>
          <c:val>
            <c:numRef>
              <c:f>'Energy LRB Changes'!$E$8:$S$8</c:f>
              <c:numCache>
                <c:formatCode>#,##0_);[Red]\(#,##0\)</c:formatCode>
                <c:ptCount val="15"/>
                <c:pt idx="0">
                  <c:v>-1060.959797466698</c:v>
                </c:pt>
                <c:pt idx="1">
                  <c:v>-1419.19615620991</c:v>
                </c:pt>
                <c:pt idx="2">
                  <c:v>-2574.161292292541</c:v>
                </c:pt>
                <c:pt idx="3">
                  <c:v>-3196.677535161267</c:v>
                </c:pt>
                <c:pt idx="4">
                  <c:v>-6754.430097775141</c:v>
                </c:pt>
                <c:pt idx="5">
                  <c:v>-7701.398913839635</c:v>
                </c:pt>
                <c:pt idx="6">
                  <c:v>-8422.9342688361</c:v>
                </c:pt>
                <c:pt idx="7">
                  <c:v>-9046.465763258486</c:v>
                </c:pt>
                <c:pt idx="8">
                  <c:v>-9847.549556710786</c:v>
                </c:pt>
                <c:pt idx="9">
                  <c:v>-9186.6023771826</c:v>
                </c:pt>
                <c:pt idx="10">
                  <c:v>-10057.70273206773</c:v>
                </c:pt>
                <c:pt idx="11">
                  <c:v>-10924.09865562445</c:v>
                </c:pt>
                <c:pt idx="12">
                  <c:v>-11758.55914914844</c:v>
                </c:pt>
                <c:pt idx="13">
                  <c:v>-12850.88872095288</c:v>
                </c:pt>
                <c:pt idx="14">
                  <c:v>-14296.85742939185</c:v>
                </c:pt>
              </c:numCache>
            </c:numRef>
          </c:val>
          <c:smooth val="0"/>
        </c:ser>
        <c:ser>
          <c:idx val="1"/>
          <c:order val="1"/>
          <c:tx>
            <c:v>without LNG (2013 estimate)</c:v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'Energy LRB Changes'!$E$6:$S$6</c:f>
              <c:strCache>
                <c:ptCount val="15"/>
                <c:pt idx="0">
                  <c:v>F2017</c:v>
                </c:pt>
                <c:pt idx="1">
                  <c:v>F2018</c:v>
                </c:pt>
                <c:pt idx="2">
                  <c:v>F2019</c:v>
                </c:pt>
                <c:pt idx="3">
                  <c:v>F2020</c:v>
                </c:pt>
                <c:pt idx="4">
                  <c:v>F2021</c:v>
                </c:pt>
                <c:pt idx="5">
                  <c:v>F2022</c:v>
                </c:pt>
                <c:pt idx="6">
                  <c:v>F2023</c:v>
                </c:pt>
                <c:pt idx="7">
                  <c:v>F2024</c:v>
                </c:pt>
                <c:pt idx="8">
                  <c:v>F2025</c:v>
                </c:pt>
                <c:pt idx="9">
                  <c:v>F2026</c:v>
                </c:pt>
                <c:pt idx="10">
                  <c:v>F2027</c:v>
                </c:pt>
                <c:pt idx="11">
                  <c:v>F2028</c:v>
                </c:pt>
                <c:pt idx="12">
                  <c:v>F2029</c:v>
                </c:pt>
                <c:pt idx="13">
                  <c:v>F2030</c:v>
                </c:pt>
                <c:pt idx="14">
                  <c:v>F2031</c:v>
                </c:pt>
              </c:strCache>
            </c:strRef>
          </c:cat>
          <c:val>
            <c:numRef>
              <c:f>'Energy LRB Changes'!$E$40:$S$40</c:f>
              <c:numCache>
                <c:formatCode>#,##0_);[Red]\(#,##0\)</c:formatCode>
                <c:ptCount val="15"/>
                <c:pt idx="0">
                  <c:v>5040.885376908294</c:v>
                </c:pt>
                <c:pt idx="1">
                  <c:v>3725.268566157173</c:v>
                </c:pt>
                <c:pt idx="2">
                  <c:v>2827.72330269417</c:v>
                </c:pt>
                <c:pt idx="3">
                  <c:v>2365.855918024968</c:v>
                </c:pt>
                <c:pt idx="4">
                  <c:v>2179.259632638474</c:v>
                </c:pt>
                <c:pt idx="5">
                  <c:v>1783.80675675979</c:v>
                </c:pt>
                <c:pt idx="6">
                  <c:v>1114.253702606449</c:v>
                </c:pt>
                <c:pt idx="7">
                  <c:v>689.8765827725631</c:v>
                </c:pt>
                <c:pt idx="8">
                  <c:v>256.0127269033875</c:v>
                </c:pt>
                <c:pt idx="9">
                  <c:v>284.9066377088965</c:v>
                </c:pt>
                <c:pt idx="10">
                  <c:v>-152.2353791916204</c:v>
                </c:pt>
                <c:pt idx="11">
                  <c:v>-863.748352120916</c:v>
                </c:pt>
                <c:pt idx="12">
                  <c:v>-1770.794568737828</c:v>
                </c:pt>
                <c:pt idx="13">
                  <c:v>-2563.114368370576</c:v>
                </c:pt>
                <c:pt idx="14">
                  <c:v>-3306.605955006893</c:v>
                </c:pt>
              </c:numCache>
            </c:numRef>
          </c:val>
          <c:smooth val="0"/>
        </c:ser>
        <c:ser>
          <c:idx val="2"/>
          <c:order val="2"/>
          <c:tx>
            <c:v>with LNG (2011 estimate)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'Energy LRB Changes'!$E$10:$S$10</c:f>
              <c:numCache>
                <c:formatCode>#,##0_);[Red]\(#,##0\)</c:formatCode>
                <c:ptCount val="15"/>
                <c:pt idx="0">
                  <c:v>-4861.323737466693</c:v>
                </c:pt>
                <c:pt idx="1">
                  <c:v>-6700.057036209887</c:v>
                </c:pt>
                <c:pt idx="2">
                  <c:v>-7855.022172292556</c:v>
                </c:pt>
                <c:pt idx="3">
                  <c:v>-8477.538415161288</c:v>
                </c:pt>
                <c:pt idx="4">
                  <c:v>-12035.2909777751</c:v>
                </c:pt>
                <c:pt idx="5">
                  <c:v>-12982.25979383964</c:v>
                </c:pt>
                <c:pt idx="6">
                  <c:v>-13703.79514883607</c:v>
                </c:pt>
                <c:pt idx="7">
                  <c:v>-14327.32664325847</c:v>
                </c:pt>
                <c:pt idx="8">
                  <c:v>-15128.41043671079</c:v>
                </c:pt>
                <c:pt idx="9">
                  <c:v>-14467.46325718261</c:v>
                </c:pt>
                <c:pt idx="10">
                  <c:v>-15338.56361206772</c:v>
                </c:pt>
                <c:pt idx="11">
                  <c:v>-16204.95953562444</c:v>
                </c:pt>
                <c:pt idx="12">
                  <c:v>-17039.42002914843</c:v>
                </c:pt>
                <c:pt idx="13">
                  <c:v>-18131.74960095287</c:v>
                </c:pt>
                <c:pt idx="14">
                  <c:v>-19577.71830939184</c:v>
                </c:pt>
              </c:numCache>
            </c:numRef>
          </c:val>
          <c:smooth val="0"/>
        </c:ser>
        <c:ser>
          <c:idx val="3"/>
          <c:order val="3"/>
          <c:tx>
            <c:v>with LNG (2013 estimate)</c:v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'Energy LRB Changes'!$E$42:$S$42</c:f>
              <c:numCache>
                <c:formatCode>#,##0_);[Red]\(#,##0\)</c:formatCode>
                <c:ptCount val="15"/>
                <c:pt idx="0">
                  <c:v>5040.885376908294</c:v>
                </c:pt>
                <c:pt idx="1">
                  <c:v>3725.268566157173</c:v>
                </c:pt>
                <c:pt idx="2">
                  <c:v>2827.723302694178</c:v>
                </c:pt>
                <c:pt idx="3">
                  <c:v>1365.855918024968</c:v>
                </c:pt>
                <c:pt idx="4">
                  <c:v>179.2596326384822</c:v>
                </c:pt>
                <c:pt idx="5">
                  <c:v>-1216.193243240202</c:v>
                </c:pt>
                <c:pt idx="6">
                  <c:v>-1885.746297393544</c:v>
                </c:pt>
                <c:pt idx="7">
                  <c:v>-2310.123417227429</c:v>
                </c:pt>
                <c:pt idx="8">
                  <c:v>-2743.987273096612</c:v>
                </c:pt>
                <c:pt idx="9">
                  <c:v>-2715.093362291103</c:v>
                </c:pt>
                <c:pt idx="10">
                  <c:v>-3152.23537919162</c:v>
                </c:pt>
                <c:pt idx="11">
                  <c:v>-3863.748352120916</c:v>
                </c:pt>
                <c:pt idx="12">
                  <c:v>-4770.794568737828</c:v>
                </c:pt>
                <c:pt idx="13">
                  <c:v>-5563.114368370577</c:v>
                </c:pt>
                <c:pt idx="14">
                  <c:v>-6306.605955006894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758440"/>
        <c:axId val="2139974760"/>
      </c:lineChart>
      <c:catAx>
        <c:axId val="2139758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2139974760"/>
        <c:crosses val="autoZero"/>
        <c:auto val="1"/>
        <c:lblAlgn val="ctr"/>
        <c:lblOffset val="100"/>
        <c:tickLblSkip val="4"/>
        <c:noMultiLvlLbl val="0"/>
      </c:catAx>
      <c:valAx>
        <c:axId val="2139974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GWh/yr</a:t>
                </a:r>
              </a:p>
            </c:rich>
          </c:tx>
          <c:layout>
            <c:manualLayout>
              <c:xMode val="edge"/>
              <c:yMode val="edge"/>
              <c:x val="0.00740331474965312"/>
              <c:y val="0.47068030623775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1397584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Difference between 2013 and 2011 draft IRP Load Resource Balance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13822489964428"/>
          <c:y val="0.146181817060677"/>
          <c:w val="0.878377412591628"/>
          <c:h val="0.799362784031884"/>
        </c:manualLayout>
      </c:layout>
      <c:lineChart>
        <c:grouping val="standard"/>
        <c:varyColors val="0"/>
        <c:ser>
          <c:idx val="0"/>
          <c:order val="0"/>
          <c:tx>
            <c:v>without LNG</c:v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'Energy LRB Changes'!$E$6:$S$6</c:f>
              <c:strCache>
                <c:ptCount val="15"/>
                <c:pt idx="0">
                  <c:v>F2017</c:v>
                </c:pt>
                <c:pt idx="1">
                  <c:v>F2018</c:v>
                </c:pt>
                <c:pt idx="2">
                  <c:v>F2019</c:v>
                </c:pt>
                <c:pt idx="3">
                  <c:v>F2020</c:v>
                </c:pt>
                <c:pt idx="4">
                  <c:v>F2021</c:v>
                </c:pt>
                <c:pt idx="5">
                  <c:v>F2022</c:v>
                </c:pt>
                <c:pt idx="6">
                  <c:v>F2023</c:v>
                </c:pt>
                <c:pt idx="7">
                  <c:v>F2024</c:v>
                </c:pt>
                <c:pt idx="8">
                  <c:v>F2025</c:v>
                </c:pt>
                <c:pt idx="9">
                  <c:v>F2026</c:v>
                </c:pt>
                <c:pt idx="10">
                  <c:v>F2027</c:v>
                </c:pt>
                <c:pt idx="11">
                  <c:v>F2028</c:v>
                </c:pt>
                <c:pt idx="12">
                  <c:v>F2029</c:v>
                </c:pt>
                <c:pt idx="13">
                  <c:v>F2030</c:v>
                </c:pt>
                <c:pt idx="14">
                  <c:v>F2031</c:v>
                </c:pt>
              </c:strCache>
            </c:strRef>
          </c:cat>
          <c:val>
            <c:numRef>
              <c:f>'Energy LRB Changes'!$E$44:$S$44</c:f>
              <c:numCache>
                <c:formatCode>#,##0_);[Red]\(#,##0\)</c:formatCode>
                <c:ptCount val="15"/>
                <c:pt idx="0">
                  <c:v>6101.845174374991</c:v>
                </c:pt>
                <c:pt idx="1">
                  <c:v>5144.464722367083</c:v>
                </c:pt>
                <c:pt idx="2">
                  <c:v>5401.884594986712</c:v>
                </c:pt>
                <c:pt idx="3">
                  <c:v>5562.533453186235</c:v>
                </c:pt>
                <c:pt idx="4">
                  <c:v>8933.689730413615</c:v>
                </c:pt>
                <c:pt idx="5">
                  <c:v>9485.205670599425</c:v>
                </c:pt>
                <c:pt idx="6">
                  <c:v>9537.187971442549</c:v>
                </c:pt>
                <c:pt idx="7">
                  <c:v>9736.34234603105</c:v>
                </c:pt>
                <c:pt idx="8">
                  <c:v>10103.56228361417</c:v>
                </c:pt>
                <c:pt idx="9">
                  <c:v>9471.509014891497</c:v>
                </c:pt>
                <c:pt idx="10">
                  <c:v>9905.467352876108</c:v>
                </c:pt>
                <c:pt idx="11">
                  <c:v>10060.35030350353</c:v>
                </c:pt>
                <c:pt idx="12">
                  <c:v>9987.76458041061</c:v>
                </c:pt>
                <c:pt idx="13">
                  <c:v>10287.7743525823</c:v>
                </c:pt>
                <c:pt idx="14">
                  <c:v>10990.25147438496</c:v>
                </c:pt>
              </c:numCache>
            </c:numRef>
          </c:val>
          <c:smooth val="0"/>
        </c:ser>
        <c:ser>
          <c:idx val="2"/>
          <c:order val="1"/>
          <c:tx>
            <c:v>with LNG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'Energy LRB Changes'!$E$46:$S$46</c:f>
              <c:numCache>
                <c:formatCode>#,##0_);[Red]\(#,##0\)</c:formatCode>
                <c:ptCount val="15"/>
                <c:pt idx="0">
                  <c:v>9902.209114374987</c:v>
                </c:pt>
                <c:pt idx="1">
                  <c:v>10425.32560236706</c:v>
                </c:pt>
                <c:pt idx="2">
                  <c:v>10682.74547498673</c:v>
                </c:pt>
                <c:pt idx="3">
                  <c:v>9843.394333186257</c:v>
                </c:pt>
                <c:pt idx="4">
                  <c:v>12214.55061041358</c:v>
                </c:pt>
                <c:pt idx="5">
                  <c:v>11766.06655059943</c:v>
                </c:pt>
                <c:pt idx="6">
                  <c:v>11818.04885144253</c:v>
                </c:pt>
                <c:pt idx="7">
                  <c:v>12017.20322603104</c:v>
                </c:pt>
                <c:pt idx="8">
                  <c:v>12384.42316361418</c:v>
                </c:pt>
                <c:pt idx="9">
                  <c:v>11752.3698948915</c:v>
                </c:pt>
                <c:pt idx="10">
                  <c:v>12186.3282328761</c:v>
                </c:pt>
                <c:pt idx="11">
                  <c:v>12341.21118350352</c:v>
                </c:pt>
                <c:pt idx="12">
                  <c:v>12268.6254604106</c:v>
                </c:pt>
                <c:pt idx="13">
                  <c:v>12568.63523258229</c:v>
                </c:pt>
                <c:pt idx="14">
                  <c:v>13271.11235438495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17816"/>
        <c:axId val="2140020728"/>
      </c:lineChart>
      <c:catAx>
        <c:axId val="2140017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020728"/>
        <c:crosses val="autoZero"/>
        <c:auto val="1"/>
        <c:lblAlgn val="ctr"/>
        <c:lblOffset val="100"/>
        <c:tickLblSkip val="4"/>
        <c:noMultiLvlLbl val="0"/>
      </c:catAx>
      <c:valAx>
        <c:axId val="2140020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GWh/yr</a:t>
                </a:r>
              </a:p>
            </c:rich>
          </c:tx>
          <c:layout/>
          <c:overlay val="0"/>
        </c:title>
        <c:numFmt formatCode="#,##0_);[Red]\(#,##0\)" sourceLinked="1"/>
        <c:majorTickMark val="none"/>
        <c:minorTickMark val="none"/>
        <c:tickLblPos val="nextTo"/>
        <c:crossAx val="214001781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5" right="0.75" top="1" bottom="1" header="0.5" footer="0.5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196515</xdr:colOff>
      <xdr:row>9</xdr:row>
      <xdr:rowOff>191982</xdr:rowOff>
    </xdr:from>
    <xdr:ext cx="535659" cy="937629"/>
    <xdr:sp macro="" textlink="">
      <xdr:nvSpPr>
        <xdr:cNvPr id="2" name="Rectangle 1"/>
        <xdr:cNvSpPr/>
      </xdr:nvSpPr>
      <xdr:spPr>
        <a:xfrm>
          <a:off x="196515" y="1525482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rgbClr val="00B0F0"/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1</a:t>
          </a:r>
        </a:p>
      </xdr:txBody>
    </xdr:sp>
    <xdr:clientData/>
  </xdr:oneCellAnchor>
  <xdr:oneCellAnchor>
    <xdr:from>
      <xdr:col>0</xdr:col>
      <xdr:colOff>208421</xdr:colOff>
      <xdr:row>17</xdr:row>
      <xdr:rowOff>1481</xdr:rowOff>
    </xdr:from>
    <xdr:ext cx="535659" cy="937629"/>
    <xdr:sp macro="" textlink="">
      <xdr:nvSpPr>
        <xdr:cNvPr id="3" name="Rectangle 2"/>
        <xdr:cNvSpPr/>
      </xdr:nvSpPr>
      <xdr:spPr>
        <a:xfrm>
          <a:off x="208421" y="2506556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rgbClr val="00B0F0"/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2</a:t>
          </a:r>
        </a:p>
      </xdr:txBody>
    </xdr:sp>
    <xdr:clientData/>
  </xdr:oneCellAnchor>
  <xdr:oneCellAnchor>
    <xdr:from>
      <xdr:col>0</xdr:col>
      <xdr:colOff>196515</xdr:colOff>
      <xdr:row>23</xdr:row>
      <xdr:rowOff>49106</xdr:rowOff>
    </xdr:from>
    <xdr:ext cx="535659" cy="937629"/>
    <xdr:sp macro="" textlink="">
      <xdr:nvSpPr>
        <xdr:cNvPr id="4" name="Rectangle 3"/>
        <xdr:cNvSpPr/>
      </xdr:nvSpPr>
      <xdr:spPr>
        <a:xfrm>
          <a:off x="196515" y="3744806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rgbClr val="00B0F0"/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3</a:t>
          </a:r>
        </a:p>
      </xdr:txBody>
    </xdr:sp>
    <xdr:clientData/>
  </xdr:oneCellAnchor>
  <xdr:oneCellAnchor>
    <xdr:from>
      <xdr:col>0</xdr:col>
      <xdr:colOff>196515</xdr:colOff>
      <xdr:row>29</xdr:row>
      <xdr:rowOff>37199</xdr:rowOff>
    </xdr:from>
    <xdr:ext cx="535659" cy="937629"/>
    <xdr:sp macro="" textlink="">
      <xdr:nvSpPr>
        <xdr:cNvPr id="5" name="Rectangle 4"/>
        <xdr:cNvSpPr/>
      </xdr:nvSpPr>
      <xdr:spPr>
        <a:xfrm>
          <a:off x="196515" y="4923524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rgbClr val="00B0F0"/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4</a:t>
          </a:r>
        </a:p>
      </xdr:txBody>
    </xdr:sp>
    <xdr:clientData/>
  </xdr:oneCellAnchor>
  <xdr:oneCellAnchor>
    <xdr:from>
      <xdr:col>0</xdr:col>
      <xdr:colOff>208421</xdr:colOff>
      <xdr:row>35</xdr:row>
      <xdr:rowOff>49105</xdr:rowOff>
    </xdr:from>
    <xdr:ext cx="535659" cy="937629"/>
    <xdr:sp macro="" textlink="">
      <xdr:nvSpPr>
        <xdr:cNvPr id="6" name="Rectangle 5"/>
        <xdr:cNvSpPr/>
      </xdr:nvSpPr>
      <xdr:spPr>
        <a:xfrm>
          <a:off x="208421" y="6135580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rgbClr val="00B0F0"/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5</a:t>
          </a:r>
        </a:p>
      </xdr:txBody>
    </xdr:sp>
    <xdr:clientData/>
  </xdr:oneCellAnchor>
  <xdr:twoCellAnchor>
    <xdr:from>
      <xdr:col>0</xdr:col>
      <xdr:colOff>732174</xdr:colOff>
      <xdr:row>12</xdr:row>
      <xdr:rowOff>65484</xdr:rowOff>
    </xdr:from>
    <xdr:to>
      <xdr:col>0</xdr:col>
      <xdr:colOff>952500</xdr:colOff>
      <xdr:row>12</xdr:row>
      <xdr:rowOff>65484</xdr:rowOff>
    </xdr:to>
    <xdr:cxnSp macro="">
      <xdr:nvCxnSpPr>
        <xdr:cNvPr id="7" name="Straight Connector 6"/>
        <xdr:cNvCxnSpPr>
          <a:stCxn id="2" idx="3"/>
        </xdr:cNvCxnSpPr>
      </xdr:nvCxnSpPr>
      <xdr:spPr>
        <a:xfrm>
          <a:off x="732174" y="1994297"/>
          <a:ext cx="220326" cy="0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732174</xdr:colOff>
      <xdr:row>19</xdr:row>
      <xdr:rowOff>101203</xdr:rowOff>
    </xdr:from>
    <xdr:to>
      <xdr:col>0</xdr:col>
      <xdr:colOff>952500</xdr:colOff>
      <xdr:row>19</xdr:row>
      <xdr:rowOff>101203</xdr:rowOff>
    </xdr:to>
    <xdr:cxnSp macro="">
      <xdr:nvCxnSpPr>
        <xdr:cNvPr id="8" name="Straight Connector 7"/>
        <xdr:cNvCxnSpPr/>
      </xdr:nvCxnSpPr>
      <xdr:spPr>
        <a:xfrm>
          <a:off x="732174" y="3006328"/>
          <a:ext cx="220326" cy="0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744080</xdr:colOff>
      <xdr:row>25</xdr:row>
      <xdr:rowOff>89297</xdr:rowOff>
    </xdr:from>
    <xdr:to>
      <xdr:col>0</xdr:col>
      <xdr:colOff>964406</xdr:colOff>
      <xdr:row>25</xdr:row>
      <xdr:rowOff>89297</xdr:rowOff>
    </xdr:to>
    <xdr:cxnSp macro="">
      <xdr:nvCxnSpPr>
        <xdr:cNvPr id="9" name="Straight Connector 8"/>
        <xdr:cNvCxnSpPr/>
      </xdr:nvCxnSpPr>
      <xdr:spPr>
        <a:xfrm>
          <a:off x="744080" y="4185047"/>
          <a:ext cx="220326" cy="0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755986</xdr:colOff>
      <xdr:row>31</xdr:row>
      <xdr:rowOff>113109</xdr:rowOff>
    </xdr:from>
    <xdr:to>
      <xdr:col>0</xdr:col>
      <xdr:colOff>976312</xdr:colOff>
      <xdr:row>31</xdr:row>
      <xdr:rowOff>113109</xdr:rowOff>
    </xdr:to>
    <xdr:cxnSp macro="">
      <xdr:nvCxnSpPr>
        <xdr:cNvPr id="10" name="Straight Connector 9"/>
        <xdr:cNvCxnSpPr/>
      </xdr:nvCxnSpPr>
      <xdr:spPr>
        <a:xfrm>
          <a:off x="755986" y="5399484"/>
          <a:ext cx="220326" cy="0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755986</xdr:colOff>
      <xdr:row>37</xdr:row>
      <xdr:rowOff>113109</xdr:rowOff>
    </xdr:from>
    <xdr:to>
      <xdr:col>0</xdr:col>
      <xdr:colOff>976312</xdr:colOff>
      <xdr:row>37</xdr:row>
      <xdr:rowOff>113109</xdr:rowOff>
    </xdr:to>
    <xdr:cxnSp macro="">
      <xdr:nvCxnSpPr>
        <xdr:cNvPr id="11" name="Straight Connector 10"/>
        <xdr:cNvCxnSpPr/>
      </xdr:nvCxnSpPr>
      <xdr:spPr>
        <a:xfrm>
          <a:off x="755986" y="6599634"/>
          <a:ext cx="220326" cy="0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833439</xdr:colOff>
      <xdr:row>18</xdr:row>
      <xdr:rowOff>190501</xdr:rowOff>
    </xdr:from>
    <xdr:to>
      <xdr:col>0</xdr:col>
      <xdr:colOff>836950</xdr:colOff>
      <xdr:row>20</xdr:row>
      <xdr:rowOff>39291</xdr:rowOff>
    </xdr:to>
    <xdr:cxnSp macro="">
      <xdr:nvCxnSpPr>
        <xdr:cNvPr id="12" name="Straight Connector 11"/>
        <xdr:cNvCxnSpPr/>
      </xdr:nvCxnSpPr>
      <xdr:spPr>
        <a:xfrm flipH="1" flipV="1">
          <a:off x="833439" y="2895601"/>
          <a:ext cx="3511" cy="239315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36</xdr:row>
      <xdr:rowOff>185739</xdr:rowOff>
    </xdr:from>
    <xdr:to>
      <xdr:col>0</xdr:col>
      <xdr:colOff>855999</xdr:colOff>
      <xdr:row>38</xdr:row>
      <xdr:rowOff>22623</xdr:rowOff>
    </xdr:to>
    <xdr:cxnSp macro="">
      <xdr:nvCxnSpPr>
        <xdr:cNvPr id="14" name="Straight Connector 13"/>
        <xdr:cNvCxnSpPr/>
      </xdr:nvCxnSpPr>
      <xdr:spPr>
        <a:xfrm flipH="1" flipV="1">
          <a:off x="852488" y="6472239"/>
          <a:ext cx="3511" cy="236934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833439</xdr:colOff>
      <xdr:row>11</xdr:row>
      <xdr:rowOff>130969</xdr:rowOff>
    </xdr:from>
    <xdr:to>
      <xdr:col>0</xdr:col>
      <xdr:colOff>836950</xdr:colOff>
      <xdr:row>12</xdr:row>
      <xdr:rowOff>182166</xdr:rowOff>
    </xdr:to>
    <xdr:cxnSp macro="">
      <xdr:nvCxnSpPr>
        <xdr:cNvPr id="16" name="Straight Connector 15"/>
        <xdr:cNvCxnSpPr/>
      </xdr:nvCxnSpPr>
      <xdr:spPr>
        <a:xfrm flipH="1" flipV="1">
          <a:off x="833439" y="1869282"/>
          <a:ext cx="3511" cy="241697"/>
        </a:xfrm>
        <a:prstGeom prst="line">
          <a:avLst/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0.44767</cdr:x>
      <cdr:y>0.51208</cdr:y>
    </cdr:from>
    <cdr:to>
      <cdr:x>0.68159</cdr:x>
      <cdr:y>0.55012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39808" y="2989645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215968"/>
              </a:solidFill>
              <a:latin typeface="Arial"/>
              <a:cs typeface="Arial"/>
            </a:rPr>
            <a:t>without LNG (2011 estimate)</a:t>
          </a:r>
        </a:p>
      </cdr:txBody>
    </cdr:sp>
  </cdr:relSizeAnchor>
  <cdr:relSizeAnchor xmlns:cdr="http://schemas.openxmlformats.org/drawingml/2006/chartDrawing">
    <cdr:from>
      <cdr:x>0.44767</cdr:x>
      <cdr:y>0.73321</cdr:y>
    </cdr:from>
    <cdr:to>
      <cdr:x>0.68159</cdr:x>
      <cdr:y>0.77125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39808" y="4280634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2">
                  <a:lumMod val="75000"/>
                </a:schemeClr>
              </a:solidFill>
              <a:latin typeface="Arial"/>
              <a:cs typeface="Arial"/>
            </a:rPr>
            <a:t>with LNG (2011 estimate)</a:t>
          </a:r>
        </a:p>
      </cdr:txBody>
    </cdr:sp>
  </cdr:relSizeAnchor>
  <cdr:relSizeAnchor xmlns:cdr="http://schemas.openxmlformats.org/drawingml/2006/chartDrawing">
    <cdr:from>
      <cdr:x>0.44767</cdr:x>
      <cdr:y>0.42219</cdr:y>
    </cdr:from>
    <cdr:to>
      <cdr:x>0.68159</cdr:x>
      <cdr:y>0.46023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839808" y="2464850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2">
                  <a:lumMod val="75000"/>
                </a:schemeClr>
              </a:solidFill>
              <a:latin typeface="Arial"/>
              <a:cs typeface="Arial"/>
            </a:rPr>
            <a:t>with LNG (2013 estimate)</a:t>
          </a:r>
        </a:p>
      </cdr:txBody>
    </cdr:sp>
  </cdr:relSizeAnchor>
  <cdr:relSizeAnchor xmlns:cdr="http://schemas.openxmlformats.org/drawingml/2006/chartDrawing">
    <cdr:from>
      <cdr:x>0.44767</cdr:x>
      <cdr:y>0.26039</cdr:y>
    </cdr:from>
    <cdr:to>
      <cdr:x>0.68159</cdr:x>
      <cdr:y>0.29843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839808" y="1520221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215968"/>
              </a:solidFill>
              <a:latin typeface="Arial"/>
              <a:cs typeface="Arial"/>
            </a:rPr>
            <a:t>without LNG (2013 estimate)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0.39953</cdr:x>
      <cdr:y>0.41657</cdr:y>
    </cdr:from>
    <cdr:to>
      <cdr:x>0.63345</cdr:x>
      <cdr:y>0.45462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26884" y="2432049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accent5">
                  <a:lumMod val="50000"/>
                </a:schemeClr>
              </a:solidFill>
              <a:latin typeface="Arial"/>
              <a:cs typeface="Arial"/>
            </a:rPr>
            <a:t>without LNG</a:t>
          </a:r>
        </a:p>
      </cdr:txBody>
    </cdr:sp>
  </cdr:relSizeAnchor>
  <cdr:relSizeAnchor xmlns:cdr="http://schemas.openxmlformats.org/drawingml/2006/chartDrawing">
    <cdr:from>
      <cdr:x>0.39953</cdr:x>
      <cdr:y>0.18454</cdr:y>
    </cdr:from>
    <cdr:to>
      <cdr:x>0.63345</cdr:x>
      <cdr:y>0.22258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26883" y="1077383"/>
          <a:ext cx="2006391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accent2">
                  <a:lumMod val="75000"/>
                </a:schemeClr>
              </a:solidFill>
              <a:latin typeface="Arial"/>
              <a:cs typeface="Arial"/>
            </a:rPr>
            <a:t>with LNG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67"/>
  <sheetViews>
    <sheetView zoomScale="85" zoomScaleNormal="85" zoomScalePageLayoutView="85" workbookViewId="0">
      <selection activeCell="C75" sqref="C75"/>
    </sheetView>
  </sheetViews>
  <sheetFormatPr baseColWidth="10" defaultColWidth="8.83203125" defaultRowHeight="14" x14ac:dyDescent="0"/>
  <cols>
    <col min="1" max="1" width="15" customWidth="1"/>
    <col min="2" max="2" width="4.6640625" style="36" customWidth="1"/>
    <col min="3" max="3" width="91.1640625" customWidth="1"/>
    <col min="4" max="4" width="26" style="43" customWidth="1"/>
    <col min="5" max="19" width="11.33203125" customWidth="1"/>
    <col min="20" max="20" width="10.33203125" bestFit="1" customWidth="1"/>
  </cols>
  <sheetData>
    <row r="1" spans="1:20" s="3" customFormat="1" ht="21">
      <c r="A1" s="1" t="s">
        <v>0</v>
      </c>
      <c r="B1" s="2"/>
      <c r="D1" s="4"/>
      <c r="E1" s="5"/>
      <c r="F1" s="5"/>
      <c r="G1" s="6"/>
      <c r="H1" s="5"/>
      <c r="I1" s="6"/>
      <c r="J1" s="5"/>
      <c r="K1" s="6"/>
      <c r="L1" s="5"/>
      <c r="M1" s="5"/>
      <c r="N1" s="5"/>
      <c r="O1" s="5"/>
      <c r="P1" s="5"/>
      <c r="Q1" s="66"/>
      <c r="R1" s="66"/>
      <c r="S1" s="5"/>
    </row>
    <row r="2" spans="1:20" s="3" customFormat="1" ht="15">
      <c r="A2" s="36" t="s">
        <v>65</v>
      </c>
      <c r="B2" s="2"/>
      <c r="D2" s="4"/>
      <c r="E2" s="5"/>
      <c r="F2" s="5"/>
      <c r="G2" s="6"/>
      <c r="H2" s="5"/>
      <c r="I2" s="6"/>
      <c r="J2" s="5"/>
      <c r="K2" s="6"/>
      <c r="L2" s="5"/>
      <c r="M2" s="5"/>
      <c r="N2" s="5"/>
      <c r="O2" s="5"/>
      <c r="P2" s="5"/>
      <c r="Q2" s="52"/>
      <c r="R2" s="52"/>
      <c r="S2" s="5"/>
    </row>
    <row r="3" spans="1:20" s="3" customFormat="1" ht="15">
      <c r="A3" s="36"/>
      <c r="B3" s="2"/>
      <c r="D3" s="4"/>
      <c r="E3" s="5"/>
      <c r="F3" s="5"/>
      <c r="G3" s="6"/>
      <c r="H3" s="5"/>
      <c r="I3" s="6"/>
      <c r="J3" s="5"/>
      <c r="K3" s="6"/>
      <c r="L3" s="5"/>
      <c r="M3" s="5"/>
      <c r="N3" s="5"/>
      <c r="O3" s="5"/>
      <c r="P3" s="5"/>
      <c r="Q3" s="52"/>
      <c r="R3" s="52"/>
      <c r="S3" s="5"/>
    </row>
    <row r="4" spans="1:20" s="3" customFormat="1" ht="15">
      <c r="A4" s="36"/>
      <c r="B4" s="2"/>
      <c r="D4" s="4"/>
      <c r="E4" s="5"/>
      <c r="F4" s="5"/>
      <c r="G4" s="6"/>
      <c r="H4" s="5"/>
      <c r="I4" s="6"/>
      <c r="J4" s="5"/>
      <c r="K4" s="6"/>
      <c r="L4" s="5"/>
      <c r="M4" s="5"/>
      <c r="N4" s="5"/>
      <c r="O4" s="5"/>
      <c r="P4" s="5"/>
      <c r="Q4" s="52"/>
      <c r="R4" s="52"/>
      <c r="S4" s="5"/>
    </row>
    <row r="5" spans="1:20" s="3" customFormat="1" ht="18" thickBot="1">
      <c r="A5" s="36" t="s">
        <v>49</v>
      </c>
      <c r="B5" s="7"/>
      <c r="D5" s="4"/>
      <c r="E5" s="8"/>
      <c r="F5" s="9"/>
      <c r="G5" s="5"/>
      <c r="H5" s="10"/>
      <c r="I5" s="11"/>
      <c r="J5" s="5"/>
      <c r="K5" s="6"/>
      <c r="L5" s="5"/>
      <c r="M5" s="5"/>
      <c r="N5" s="5"/>
      <c r="O5" s="5"/>
      <c r="P5" s="5"/>
      <c r="Q5" s="5"/>
      <c r="R5" s="5"/>
      <c r="S5" s="5"/>
    </row>
    <row r="6" spans="1:20" s="3" customFormat="1" ht="15">
      <c r="B6" s="2"/>
      <c r="C6" s="12" t="s">
        <v>1</v>
      </c>
      <c r="D6" s="13"/>
      <c r="E6" s="14" t="s">
        <v>2</v>
      </c>
      <c r="F6" s="15" t="s">
        <v>3</v>
      </c>
      <c r="G6" s="15" t="s">
        <v>4</v>
      </c>
      <c r="H6" s="16" t="s">
        <v>5</v>
      </c>
      <c r="I6" s="17" t="s">
        <v>6</v>
      </c>
      <c r="J6" s="15" t="s">
        <v>7</v>
      </c>
      <c r="K6" s="15" t="s">
        <v>8</v>
      </c>
      <c r="L6" s="15" t="s">
        <v>9</v>
      </c>
      <c r="M6" s="15" t="s">
        <v>10</v>
      </c>
      <c r="N6" s="15" t="s">
        <v>11</v>
      </c>
      <c r="O6" s="15" t="s">
        <v>12</v>
      </c>
      <c r="P6" s="15" t="s">
        <v>13</v>
      </c>
      <c r="Q6" s="15" t="s">
        <v>14</v>
      </c>
      <c r="R6" s="15" t="s">
        <v>15</v>
      </c>
      <c r="S6" s="15" t="s">
        <v>16</v>
      </c>
      <c r="T6" s="63" t="s">
        <v>71</v>
      </c>
    </row>
    <row r="7" spans="1:20" s="3" customFormat="1" ht="15">
      <c r="B7" s="2"/>
      <c r="C7" s="18"/>
      <c r="D7" s="19"/>
      <c r="E7" s="20"/>
      <c r="F7" s="21"/>
      <c r="G7" s="21"/>
      <c r="H7" s="22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5" thickBot="1">
      <c r="B8" s="24" t="s">
        <v>53</v>
      </c>
      <c r="C8" s="24"/>
      <c r="D8" s="25" t="s">
        <v>17</v>
      </c>
      <c r="E8" s="26">
        <v>-1060.9597974666976</v>
      </c>
      <c r="F8" s="27">
        <v>-1419.1961562099095</v>
      </c>
      <c r="G8" s="27">
        <v>-2574.1612922925415</v>
      </c>
      <c r="H8" s="28">
        <v>-3196.6775351612669</v>
      </c>
      <c r="I8" s="29">
        <v>-6754.4300977751409</v>
      </c>
      <c r="J8" s="27">
        <v>-7701.3989138396355</v>
      </c>
      <c r="K8" s="27">
        <v>-8422.9342688360994</v>
      </c>
      <c r="L8" s="27">
        <v>-9046.4657632584858</v>
      </c>
      <c r="M8" s="27">
        <v>-9847.5495567107864</v>
      </c>
      <c r="N8" s="27">
        <v>-9186.6023771826003</v>
      </c>
      <c r="O8" s="27">
        <v>-10057.70273206773</v>
      </c>
      <c r="P8" s="27">
        <v>-10924.098655624446</v>
      </c>
      <c r="Q8" s="27">
        <v>-11758.559149148437</v>
      </c>
      <c r="R8" s="27">
        <v>-12850.888720952877</v>
      </c>
      <c r="S8" s="27">
        <v>-14296.85742939185</v>
      </c>
    </row>
    <row r="9" spans="1:20">
      <c r="B9" s="30"/>
      <c r="C9" s="30"/>
      <c r="D9" s="31"/>
      <c r="E9" s="32"/>
      <c r="F9" s="33"/>
      <c r="G9" s="33"/>
      <c r="H9" s="34"/>
      <c r="I9" s="35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20" ht="15" thickBot="1">
      <c r="B10" s="24" t="s">
        <v>52</v>
      </c>
      <c r="C10" s="24"/>
      <c r="D10" s="25" t="s">
        <v>18</v>
      </c>
      <c r="E10" s="26">
        <v>-4861.3237374666933</v>
      </c>
      <c r="F10" s="27">
        <v>-6700.0570362098879</v>
      </c>
      <c r="G10" s="27">
        <v>-7855.0221722925562</v>
      </c>
      <c r="H10" s="28">
        <v>-8477.5384151612889</v>
      </c>
      <c r="I10" s="29">
        <v>-12035.290977775097</v>
      </c>
      <c r="J10" s="27">
        <v>-12982.259793839636</v>
      </c>
      <c r="K10" s="27">
        <v>-13703.79514883607</v>
      </c>
      <c r="L10" s="27">
        <v>-14327.326643258471</v>
      </c>
      <c r="M10" s="27">
        <v>-15128.410436710794</v>
      </c>
      <c r="N10" s="27">
        <v>-14467.463257182608</v>
      </c>
      <c r="O10" s="27">
        <v>-15338.563612067723</v>
      </c>
      <c r="P10" s="27">
        <v>-16204.959535624439</v>
      </c>
      <c r="Q10" s="27">
        <v>-17039.42002914843</v>
      </c>
      <c r="R10" s="27">
        <v>-18131.74960095287</v>
      </c>
      <c r="S10" s="27">
        <v>-19577.718309391843</v>
      </c>
    </row>
    <row r="11" spans="1:20" s="3" customFormat="1" ht="15">
      <c r="B11" s="2"/>
      <c r="C11" s="18"/>
      <c r="D11" s="31"/>
      <c r="E11" s="20"/>
      <c r="F11" s="21"/>
      <c r="G11" s="21"/>
      <c r="H11" s="22"/>
      <c r="I11" s="23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>
      <c r="B12" s="36" t="s">
        <v>19</v>
      </c>
      <c r="E12" s="38">
        <v>4100</v>
      </c>
      <c r="F12" s="39">
        <v>4100</v>
      </c>
      <c r="G12" s="39">
        <v>4100</v>
      </c>
      <c r="H12" s="40">
        <v>4100</v>
      </c>
      <c r="I12" s="39">
        <v>4100</v>
      </c>
      <c r="J12" s="39">
        <v>4100</v>
      </c>
      <c r="K12" s="39">
        <v>4100</v>
      </c>
      <c r="L12" s="39">
        <v>4100</v>
      </c>
      <c r="M12" s="39">
        <v>4100</v>
      </c>
      <c r="N12" s="39">
        <v>4100</v>
      </c>
      <c r="O12" s="39">
        <v>4100</v>
      </c>
      <c r="P12" s="39">
        <v>4100</v>
      </c>
      <c r="Q12" s="39">
        <v>4100</v>
      </c>
      <c r="R12" s="39">
        <v>4100</v>
      </c>
      <c r="S12" s="39">
        <v>4100</v>
      </c>
    </row>
    <row r="13" spans="1:20">
      <c r="B13" s="44" t="s">
        <v>50</v>
      </c>
      <c r="C13" s="45"/>
      <c r="D13" s="46"/>
      <c r="E13" s="47">
        <v>0</v>
      </c>
      <c r="F13" s="48">
        <v>0</v>
      </c>
      <c r="G13" s="48">
        <v>0</v>
      </c>
      <c r="H13" s="49">
        <v>0</v>
      </c>
      <c r="I13" s="48">
        <v>3000</v>
      </c>
      <c r="J13" s="48">
        <v>3000</v>
      </c>
      <c r="K13" s="48">
        <v>3000</v>
      </c>
      <c r="L13" s="48">
        <v>3000</v>
      </c>
      <c r="M13" s="48">
        <v>3000</v>
      </c>
      <c r="N13" s="48">
        <v>3000</v>
      </c>
      <c r="O13" s="48">
        <v>3000</v>
      </c>
      <c r="P13" s="48">
        <v>3000</v>
      </c>
      <c r="Q13" s="48">
        <v>3000</v>
      </c>
      <c r="R13" s="48">
        <v>3000</v>
      </c>
      <c r="S13" s="48">
        <v>3000</v>
      </c>
    </row>
    <row r="14" spans="1:20">
      <c r="C14" s="50" t="s">
        <v>51</v>
      </c>
      <c r="D14" s="37" t="s">
        <v>20</v>
      </c>
      <c r="E14" s="38">
        <f>SUM(E12:E13)</f>
        <v>4100</v>
      </c>
      <c r="F14" s="39">
        <f t="shared" ref="F14:S14" si="0">SUM(F12:F13)</f>
        <v>4100</v>
      </c>
      <c r="G14" s="39">
        <f t="shared" si="0"/>
        <v>4100</v>
      </c>
      <c r="H14" s="40">
        <f t="shared" si="0"/>
        <v>4100</v>
      </c>
      <c r="I14" s="39">
        <f t="shared" si="0"/>
        <v>7100</v>
      </c>
      <c r="J14" s="39">
        <f t="shared" si="0"/>
        <v>7100</v>
      </c>
      <c r="K14" s="39">
        <f t="shared" si="0"/>
        <v>7100</v>
      </c>
      <c r="L14" s="39">
        <f t="shared" si="0"/>
        <v>7100</v>
      </c>
      <c r="M14" s="39">
        <f t="shared" si="0"/>
        <v>7100</v>
      </c>
      <c r="N14" s="39">
        <f t="shared" si="0"/>
        <v>7100</v>
      </c>
      <c r="O14" s="39">
        <f t="shared" si="0"/>
        <v>7100</v>
      </c>
      <c r="P14" s="39">
        <f t="shared" si="0"/>
        <v>7100</v>
      </c>
      <c r="Q14" s="39">
        <f t="shared" si="0"/>
        <v>7100</v>
      </c>
      <c r="R14" s="39">
        <f t="shared" si="0"/>
        <v>7100</v>
      </c>
      <c r="S14" s="39">
        <f t="shared" si="0"/>
        <v>7100</v>
      </c>
    </row>
    <row r="15" spans="1:20" s="3" customFormat="1" ht="15">
      <c r="B15" s="2"/>
      <c r="C15" s="18"/>
      <c r="D15" s="31"/>
      <c r="E15" s="20"/>
      <c r="F15" s="21"/>
      <c r="G15" s="21"/>
      <c r="H15" s="22"/>
      <c r="I15" s="23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0" ht="15" thickBot="1">
      <c r="B16" s="24" t="s">
        <v>21</v>
      </c>
      <c r="C16" s="24"/>
      <c r="D16" s="25" t="s">
        <v>22</v>
      </c>
      <c r="E16" s="26">
        <f>E8+E14</f>
        <v>3039.0402025333024</v>
      </c>
      <c r="F16" s="27">
        <f t="shared" ref="F16:S16" si="1">F8+F14</f>
        <v>2680.8038437900905</v>
      </c>
      <c r="G16" s="27">
        <f t="shared" si="1"/>
        <v>1525.8387077074585</v>
      </c>
      <c r="H16" s="28">
        <f t="shared" si="1"/>
        <v>903.32246483873314</v>
      </c>
      <c r="I16" s="29">
        <f t="shared" si="1"/>
        <v>345.56990222485911</v>
      </c>
      <c r="J16" s="27">
        <f t="shared" si="1"/>
        <v>-601.3989138396355</v>
      </c>
      <c r="K16" s="27">
        <f t="shared" si="1"/>
        <v>-1322.9342688360994</v>
      </c>
      <c r="L16" s="27">
        <f t="shared" si="1"/>
        <v>-1946.4657632584858</v>
      </c>
      <c r="M16" s="27">
        <f t="shared" si="1"/>
        <v>-2747.5495567107864</v>
      </c>
      <c r="N16" s="27">
        <f t="shared" si="1"/>
        <v>-2086.6023771826003</v>
      </c>
      <c r="O16" s="27">
        <f t="shared" si="1"/>
        <v>-2957.7027320677298</v>
      </c>
      <c r="P16" s="27">
        <f t="shared" si="1"/>
        <v>-3824.0986556244461</v>
      </c>
      <c r="Q16" s="27">
        <f t="shared" si="1"/>
        <v>-4658.5591491484374</v>
      </c>
      <c r="R16" s="27">
        <f t="shared" si="1"/>
        <v>-5750.8887209528766</v>
      </c>
      <c r="S16" s="27">
        <f t="shared" si="1"/>
        <v>-7196.85742939185</v>
      </c>
    </row>
    <row r="17" spans="2:20">
      <c r="B17" s="30"/>
      <c r="C17" s="30"/>
      <c r="D17" s="31"/>
      <c r="E17" s="32"/>
      <c r="F17" s="33"/>
      <c r="G17" s="33"/>
      <c r="H17" s="34"/>
      <c r="I17" s="35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2:20" ht="15" thickBot="1">
      <c r="B18" s="24" t="s">
        <v>23</v>
      </c>
      <c r="C18" s="24"/>
      <c r="D18" s="25" t="s">
        <v>24</v>
      </c>
      <c r="E18" s="26">
        <f>E10+E14</f>
        <v>-761.32373746669327</v>
      </c>
      <c r="F18" s="27">
        <f t="shared" ref="F18:S18" si="2">F10+F14</f>
        <v>-2600.0570362098879</v>
      </c>
      <c r="G18" s="27">
        <f t="shared" si="2"/>
        <v>-3755.0221722925562</v>
      </c>
      <c r="H18" s="28">
        <f t="shared" si="2"/>
        <v>-4377.5384151612889</v>
      </c>
      <c r="I18" s="29">
        <f t="shared" si="2"/>
        <v>-4935.2909777750974</v>
      </c>
      <c r="J18" s="27">
        <f t="shared" si="2"/>
        <v>-5882.2597938396357</v>
      </c>
      <c r="K18" s="27">
        <f t="shared" si="2"/>
        <v>-6603.7951488360704</v>
      </c>
      <c r="L18" s="27">
        <f t="shared" si="2"/>
        <v>-7227.3266432584714</v>
      </c>
      <c r="M18" s="27">
        <f t="shared" si="2"/>
        <v>-8028.4104367107939</v>
      </c>
      <c r="N18" s="27">
        <f t="shared" si="2"/>
        <v>-7367.4632571826078</v>
      </c>
      <c r="O18" s="27">
        <f t="shared" si="2"/>
        <v>-8238.5636120677227</v>
      </c>
      <c r="P18" s="27">
        <f t="shared" si="2"/>
        <v>-9104.959535624439</v>
      </c>
      <c r="Q18" s="27">
        <f t="shared" si="2"/>
        <v>-9939.4200291484303</v>
      </c>
      <c r="R18" s="27">
        <f t="shared" si="2"/>
        <v>-11031.74960095287</v>
      </c>
      <c r="S18" s="27">
        <f t="shared" si="2"/>
        <v>-12477.718309391843</v>
      </c>
    </row>
    <row r="19" spans="2:20" s="3" customFormat="1" ht="15">
      <c r="B19" s="2"/>
      <c r="C19" s="18"/>
      <c r="D19" s="31"/>
      <c r="E19" s="20"/>
      <c r="F19" s="21"/>
      <c r="G19" s="21"/>
      <c r="H19" s="22"/>
      <c r="I19" s="23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20">
      <c r="B20" s="36" t="s">
        <v>25</v>
      </c>
      <c r="D20" s="37" t="s">
        <v>26</v>
      </c>
      <c r="E20" s="38">
        <v>402.67857302038055</v>
      </c>
      <c r="F20" s="39">
        <v>387.32810676867257</v>
      </c>
      <c r="G20" s="39">
        <v>419.92209662465893</v>
      </c>
      <c r="H20" s="40">
        <v>549.7651972690843</v>
      </c>
      <c r="I20" s="41">
        <v>613.79564186811206</v>
      </c>
      <c r="J20" s="39">
        <v>429.87895088587595</v>
      </c>
      <c r="K20" s="39">
        <v>533.48646688941756</v>
      </c>
      <c r="L20" s="39">
        <v>612.98088492904628</v>
      </c>
      <c r="M20" s="39">
        <v>943.14307510682613</v>
      </c>
      <c r="N20" s="39">
        <v>977.64384474120618</v>
      </c>
      <c r="O20" s="39">
        <v>902.92405630549968</v>
      </c>
      <c r="P20" s="39">
        <v>685.85517615382071</v>
      </c>
      <c r="Q20" s="39">
        <v>481.33356063306076</v>
      </c>
      <c r="R20" s="39">
        <v>446.86279603152855</v>
      </c>
      <c r="S20" s="39">
        <v>446.86279603153037</v>
      </c>
      <c r="T20" s="59">
        <f>AVERAGE(E20:S20)</f>
        <v>588.96408155058134</v>
      </c>
    </row>
    <row r="21" spans="2:20" s="3" customFormat="1" ht="15">
      <c r="B21" s="2"/>
      <c r="C21" s="18"/>
      <c r="D21" s="31"/>
      <c r="E21" s="20"/>
      <c r="F21" s="21"/>
      <c r="G21" s="21"/>
      <c r="H21" s="22"/>
      <c r="I21" s="23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2:20" ht="15" thickBot="1">
      <c r="B22" s="24" t="s">
        <v>27</v>
      </c>
      <c r="C22" s="24"/>
      <c r="D22" s="25" t="s">
        <v>28</v>
      </c>
      <c r="E22" s="26">
        <f>E16+E20</f>
        <v>3441.7187755536829</v>
      </c>
      <c r="F22" s="27">
        <f t="shared" ref="F22:S22" si="3">F16+F20</f>
        <v>3068.131950558763</v>
      </c>
      <c r="G22" s="27">
        <f t="shared" si="3"/>
        <v>1945.7608043321175</v>
      </c>
      <c r="H22" s="28">
        <f t="shared" si="3"/>
        <v>1453.0876621078173</v>
      </c>
      <c r="I22" s="29">
        <f t="shared" si="3"/>
        <v>959.36554409297116</v>
      </c>
      <c r="J22" s="27">
        <f t="shared" si="3"/>
        <v>-171.51996295375955</v>
      </c>
      <c r="K22" s="27">
        <f t="shared" si="3"/>
        <v>-789.44780194668181</v>
      </c>
      <c r="L22" s="27">
        <f t="shared" si="3"/>
        <v>-1333.4848783294397</v>
      </c>
      <c r="M22" s="27">
        <f t="shared" si="3"/>
        <v>-1804.4064816039604</v>
      </c>
      <c r="N22" s="27">
        <f t="shared" si="3"/>
        <v>-1108.9585324413943</v>
      </c>
      <c r="O22" s="27">
        <f t="shared" si="3"/>
        <v>-2054.7786757622303</v>
      </c>
      <c r="P22" s="27">
        <f t="shared" si="3"/>
        <v>-3138.2434794706255</v>
      </c>
      <c r="Q22" s="27">
        <f t="shared" si="3"/>
        <v>-4177.2255885153763</v>
      </c>
      <c r="R22" s="27">
        <f t="shared" si="3"/>
        <v>-5304.0259249213477</v>
      </c>
      <c r="S22" s="27">
        <f t="shared" si="3"/>
        <v>-6749.9946333603193</v>
      </c>
    </row>
    <row r="23" spans="2:20" s="3" customFormat="1" ht="15">
      <c r="B23" s="2"/>
      <c r="C23" s="18"/>
      <c r="D23" s="31"/>
      <c r="E23" s="20"/>
      <c r="F23" s="21"/>
      <c r="G23" s="21"/>
      <c r="H23" s="22"/>
      <c r="I23" s="23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2:20" ht="15" thickBot="1">
      <c r="B24" s="24" t="s">
        <v>29</v>
      </c>
      <c r="C24" s="24"/>
      <c r="D24" s="25" t="s">
        <v>30</v>
      </c>
      <c r="E24" s="26">
        <f t="shared" ref="E24:S24" si="4">E18+E20</f>
        <v>-358.64516444631272</v>
      </c>
      <c r="F24" s="27">
        <f t="shared" si="4"/>
        <v>-2212.7289294412153</v>
      </c>
      <c r="G24" s="27">
        <f t="shared" si="4"/>
        <v>-3335.1000756678973</v>
      </c>
      <c r="H24" s="28">
        <f t="shared" si="4"/>
        <v>-3827.7732178922047</v>
      </c>
      <c r="I24" s="29">
        <f t="shared" si="4"/>
        <v>-4321.495335906985</v>
      </c>
      <c r="J24" s="27">
        <f t="shared" si="4"/>
        <v>-5452.3808429537594</v>
      </c>
      <c r="K24" s="27">
        <f t="shared" si="4"/>
        <v>-6070.3086819466525</v>
      </c>
      <c r="L24" s="27">
        <f t="shared" si="4"/>
        <v>-6614.3457583294248</v>
      </c>
      <c r="M24" s="27">
        <f t="shared" si="4"/>
        <v>-7085.2673616039674</v>
      </c>
      <c r="N24" s="27">
        <f t="shared" si="4"/>
        <v>-6389.8194124414013</v>
      </c>
      <c r="O24" s="27">
        <f t="shared" si="4"/>
        <v>-7335.6395557622227</v>
      </c>
      <c r="P24" s="27">
        <f t="shared" si="4"/>
        <v>-8419.1043594706189</v>
      </c>
      <c r="Q24" s="27">
        <f t="shared" si="4"/>
        <v>-9458.0864685153701</v>
      </c>
      <c r="R24" s="27">
        <f t="shared" si="4"/>
        <v>-10584.886804921342</v>
      </c>
      <c r="S24" s="27">
        <f t="shared" si="4"/>
        <v>-12030.855513360313</v>
      </c>
    </row>
    <row r="25" spans="2:20" ht="15">
      <c r="D25" s="37"/>
      <c r="E25" s="20"/>
      <c r="F25" s="21"/>
      <c r="G25" s="21"/>
      <c r="H25" s="22"/>
      <c r="I25" s="23"/>
    </row>
    <row r="26" spans="2:20">
      <c r="B26" s="36" t="s">
        <v>47</v>
      </c>
      <c r="D26" s="37" t="s">
        <v>31</v>
      </c>
      <c r="E26" s="38">
        <v>-3800.3639399999956</v>
      </c>
      <c r="F26" s="39">
        <v>-5280.8608799999784</v>
      </c>
      <c r="G26" s="39">
        <v>-5280.860880000022</v>
      </c>
      <c r="H26" s="40">
        <v>-4280.860880000022</v>
      </c>
      <c r="I26" s="39">
        <v>-3280.8608799999638</v>
      </c>
      <c r="J26" s="39">
        <v>-2280.8608800000075</v>
      </c>
      <c r="K26" s="39">
        <v>-2280.8608799999784</v>
      </c>
      <c r="L26" s="39">
        <v>-2280.8608799999929</v>
      </c>
      <c r="M26" s="39">
        <v>-2280.8608800000075</v>
      </c>
      <c r="N26" s="39">
        <v>-2280.8608800000075</v>
      </c>
      <c r="O26" s="39">
        <v>-2280.8608799999929</v>
      </c>
      <c r="P26" s="39">
        <v>-2280.8608799999929</v>
      </c>
      <c r="Q26" s="39">
        <v>-2280.8608799999929</v>
      </c>
      <c r="R26" s="39">
        <v>-2280.8608799999929</v>
      </c>
      <c r="S26" s="39">
        <v>-2280.8608799999929</v>
      </c>
      <c r="T26" s="39">
        <f>AVERAGE(E26:S26)</f>
        <v>-2982.1610839999962</v>
      </c>
    </row>
    <row r="27" spans="2:20" s="3" customFormat="1" ht="15">
      <c r="B27" s="2"/>
      <c r="C27" s="18"/>
      <c r="D27" s="31"/>
      <c r="E27" s="20"/>
      <c r="F27" s="21"/>
      <c r="G27" s="21"/>
      <c r="H27" s="22"/>
      <c r="I27" s="23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2:20" ht="15" thickBot="1">
      <c r="B28" s="24" t="s">
        <v>32</v>
      </c>
      <c r="C28" s="24"/>
      <c r="D28" s="25" t="s">
        <v>33</v>
      </c>
      <c r="E28" s="26">
        <f>E22</f>
        <v>3441.7187755536829</v>
      </c>
      <c r="F28" s="27">
        <f t="shared" ref="F28:S28" si="5">F22</f>
        <v>3068.131950558763</v>
      </c>
      <c r="G28" s="27">
        <f t="shared" si="5"/>
        <v>1945.7608043321175</v>
      </c>
      <c r="H28" s="28">
        <f t="shared" si="5"/>
        <v>1453.0876621078173</v>
      </c>
      <c r="I28" s="29">
        <f t="shared" si="5"/>
        <v>959.36554409297116</v>
      </c>
      <c r="J28" s="27">
        <f t="shared" si="5"/>
        <v>-171.51996295375955</v>
      </c>
      <c r="K28" s="27">
        <f t="shared" si="5"/>
        <v>-789.44780194668181</v>
      </c>
      <c r="L28" s="27">
        <f t="shared" si="5"/>
        <v>-1333.4848783294397</v>
      </c>
      <c r="M28" s="27">
        <f t="shared" si="5"/>
        <v>-1804.4064816039604</v>
      </c>
      <c r="N28" s="27">
        <f t="shared" si="5"/>
        <v>-1108.9585324413943</v>
      </c>
      <c r="O28" s="27">
        <f t="shared" si="5"/>
        <v>-2054.7786757622303</v>
      </c>
      <c r="P28" s="27">
        <f t="shared" si="5"/>
        <v>-3138.2434794706255</v>
      </c>
      <c r="Q28" s="27">
        <f t="shared" si="5"/>
        <v>-4177.2255885153763</v>
      </c>
      <c r="R28" s="27">
        <f t="shared" si="5"/>
        <v>-5304.0259249213477</v>
      </c>
      <c r="S28" s="27">
        <f t="shared" si="5"/>
        <v>-6749.9946333603193</v>
      </c>
    </row>
    <row r="29" spans="2:20" s="3" customFormat="1" ht="15">
      <c r="B29" s="2"/>
      <c r="C29" s="18"/>
      <c r="D29" s="31"/>
      <c r="E29" s="20"/>
      <c r="F29" s="21"/>
      <c r="G29" s="21"/>
      <c r="H29" s="22"/>
      <c r="I29" s="23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2:20" ht="15" thickBot="1">
      <c r="B30" s="24" t="s">
        <v>34</v>
      </c>
      <c r="C30" s="24"/>
      <c r="D30" s="25" t="s">
        <v>35</v>
      </c>
      <c r="E30" s="26">
        <f>E24-E26</f>
        <v>3441.7187755536829</v>
      </c>
      <c r="F30" s="27">
        <f t="shared" ref="F30:R30" si="6">F24-F26</f>
        <v>3068.131950558763</v>
      </c>
      <c r="G30" s="27">
        <f t="shared" si="6"/>
        <v>1945.7608043321247</v>
      </c>
      <c r="H30" s="28">
        <f t="shared" si="6"/>
        <v>453.08766210781732</v>
      </c>
      <c r="I30" s="29">
        <f t="shared" si="6"/>
        <v>-1040.6344559070212</v>
      </c>
      <c r="J30" s="27">
        <f t="shared" si="6"/>
        <v>-3171.5199629537519</v>
      </c>
      <c r="K30" s="27">
        <f t="shared" si="6"/>
        <v>-3789.4478019466742</v>
      </c>
      <c r="L30" s="27">
        <f t="shared" si="6"/>
        <v>-4333.4848783294319</v>
      </c>
      <c r="M30" s="27">
        <f t="shared" si="6"/>
        <v>-4804.4064816039599</v>
      </c>
      <c r="N30" s="27">
        <f t="shared" si="6"/>
        <v>-4108.9585324413938</v>
      </c>
      <c r="O30" s="27">
        <f t="shared" si="6"/>
        <v>-5054.7786757622298</v>
      </c>
      <c r="P30" s="27">
        <f t="shared" si="6"/>
        <v>-6138.243479470626</v>
      </c>
      <c r="Q30" s="27">
        <f t="shared" si="6"/>
        <v>-7177.2255885153772</v>
      </c>
      <c r="R30" s="27">
        <f t="shared" si="6"/>
        <v>-8304.0259249213486</v>
      </c>
      <c r="S30" s="27">
        <f>S24-S26</f>
        <v>-9749.9946333603202</v>
      </c>
    </row>
    <row r="31" spans="2:20" s="3" customFormat="1" ht="15">
      <c r="B31" s="2"/>
      <c r="C31" s="18"/>
      <c r="D31" s="31"/>
      <c r="E31" s="20"/>
      <c r="F31" s="21"/>
      <c r="G31" s="21"/>
      <c r="H31" s="22"/>
      <c r="I31" s="23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2:20" s="3" customFormat="1" ht="15">
      <c r="B32" s="36" t="s">
        <v>48</v>
      </c>
      <c r="C32" s="18"/>
      <c r="D32" s="42" t="s">
        <v>36</v>
      </c>
      <c r="E32" s="38">
        <v>-3470.9850808215124</v>
      </c>
      <c r="F32" s="39">
        <v>-2282.8946817079341</v>
      </c>
      <c r="G32" s="39">
        <v>-1953.686884098548</v>
      </c>
      <c r="H32" s="40">
        <v>-1647.7582581971074</v>
      </c>
      <c r="I32" s="39">
        <v>-1446.2070103530568</v>
      </c>
      <c r="J32" s="39">
        <v>-1873.9566597441008</v>
      </c>
      <c r="K32" s="39">
        <v>-1733.9439401770724</v>
      </c>
      <c r="L32" s="39">
        <v>-1774.7202905897502</v>
      </c>
      <c r="M32" s="39">
        <v>-1744.6057500912284</v>
      </c>
      <c r="N32" s="39">
        <v>-1032.4918780974549</v>
      </c>
      <c r="O32" s="39">
        <v>-1477.2866586914824</v>
      </c>
      <c r="P32" s="39">
        <v>-1711.7300655524232</v>
      </c>
      <c r="Q32" s="39">
        <v>-1714.0951077482387</v>
      </c>
      <c r="R32" s="39">
        <v>-2004.0994360608602</v>
      </c>
      <c r="S32" s="39">
        <v>-2679.2331709231803</v>
      </c>
      <c r="T32" s="39">
        <f>AVERAGE(E32:S32)</f>
        <v>-1903.1796581902634</v>
      </c>
    </row>
    <row r="33" spans="2:20" s="3" customFormat="1" ht="15">
      <c r="B33" s="2"/>
      <c r="C33" s="18"/>
      <c r="D33" s="31"/>
      <c r="E33" s="20"/>
      <c r="F33" s="21"/>
      <c r="G33" s="21"/>
      <c r="H33" s="22"/>
      <c r="I33" s="23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20" ht="15" thickBot="1">
      <c r="B34" s="24" t="s">
        <v>37</v>
      </c>
      <c r="C34" s="24"/>
      <c r="D34" s="25" t="s">
        <v>38</v>
      </c>
      <c r="E34" s="26">
        <f>E28-E32</f>
        <v>6912.7038563751958</v>
      </c>
      <c r="F34" s="27">
        <f t="shared" ref="F34:R34" si="7">F28-F32</f>
        <v>5351.0266322666976</v>
      </c>
      <c r="G34" s="27">
        <f t="shared" si="7"/>
        <v>3899.4476884306655</v>
      </c>
      <c r="H34" s="28">
        <f t="shared" si="7"/>
        <v>3100.8459203049247</v>
      </c>
      <c r="I34" s="29">
        <f t="shared" si="7"/>
        <v>2405.5725544460279</v>
      </c>
      <c r="J34" s="27">
        <f t="shared" si="7"/>
        <v>1702.4366967903411</v>
      </c>
      <c r="K34" s="27">
        <f t="shared" si="7"/>
        <v>944.49613823039056</v>
      </c>
      <c r="L34" s="27">
        <f t="shared" si="7"/>
        <v>441.23541226031057</v>
      </c>
      <c r="M34" s="27">
        <f t="shared" si="7"/>
        <v>-59.800731512732</v>
      </c>
      <c r="N34" s="27">
        <f t="shared" si="7"/>
        <v>-76.466654343939354</v>
      </c>
      <c r="O34" s="27">
        <f t="shared" si="7"/>
        <v>-577.49201707074781</v>
      </c>
      <c r="P34" s="27">
        <f t="shared" si="7"/>
        <v>-1426.5134139182023</v>
      </c>
      <c r="Q34" s="27">
        <f t="shared" si="7"/>
        <v>-2463.1304807671377</v>
      </c>
      <c r="R34" s="27">
        <f t="shared" si="7"/>
        <v>-3299.9264888604876</v>
      </c>
      <c r="S34" s="27">
        <f>S28-S32</f>
        <v>-4070.761462437139</v>
      </c>
    </row>
    <row r="35" spans="2:20" s="3" customFormat="1" ht="15">
      <c r="B35" s="2"/>
      <c r="C35" s="18"/>
      <c r="D35" s="31"/>
      <c r="E35" s="20"/>
      <c r="F35" s="21"/>
      <c r="G35" s="21"/>
      <c r="H35" s="22"/>
      <c r="I35" s="23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2:20" ht="15" thickBot="1">
      <c r="B36" s="24" t="s">
        <v>39</v>
      </c>
      <c r="C36" s="24"/>
      <c r="D36" s="25" t="s">
        <v>40</v>
      </c>
      <c r="E36" s="26">
        <f>E30-E32</f>
        <v>6912.7038563751958</v>
      </c>
      <c r="F36" s="27">
        <f t="shared" ref="F36:R36" si="8">F30-F32</f>
        <v>5351.0266322666976</v>
      </c>
      <c r="G36" s="27">
        <f t="shared" si="8"/>
        <v>3899.4476884306728</v>
      </c>
      <c r="H36" s="28">
        <f t="shared" si="8"/>
        <v>2100.8459203049247</v>
      </c>
      <c r="I36" s="29">
        <f t="shared" si="8"/>
        <v>405.57255444603561</v>
      </c>
      <c r="J36" s="27">
        <f t="shared" si="8"/>
        <v>-1297.5633032096512</v>
      </c>
      <c r="K36" s="27">
        <f t="shared" si="8"/>
        <v>-2055.5038617696018</v>
      </c>
      <c r="L36" s="27">
        <f t="shared" si="8"/>
        <v>-2558.7645877396817</v>
      </c>
      <c r="M36" s="27">
        <f t="shared" si="8"/>
        <v>-3059.8007315127315</v>
      </c>
      <c r="N36" s="27">
        <f t="shared" si="8"/>
        <v>-3076.4666543439389</v>
      </c>
      <c r="O36" s="27">
        <f t="shared" si="8"/>
        <v>-3577.4920170707474</v>
      </c>
      <c r="P36" s="27">
        <f t="shared" si="8"/>
        <v>-4426.5134139182028</v>
      </c>
      <c r="Q36" s="27">
        <f t="shared" si="8"/>
        <v>-5463.1304807671386</v>
      </c>
      <c r="R36" s="27">
        <f t="shared" si="8"/>
        <v>-6299.9264888604885</v>
      </c>
      <c r="S36" s="27">
        <f>S30-S32</f>
        <v>-7070.7614624371399</v>
      </c>
    </row>
    <row r="37" spans="2:20" s="3" customFormat="1" ht="15">
      <c r="B37" s="2"/>
      <c r="C37" s="18"/>
      <c r="D37" s="31"/>
      <c r="E37" s="20"/>
      <c r="F37" s="21"/>
      <c r="G37" s="21"/>
      <c r="H37" s="22"/>
      <c r="I37" s="23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20" s="3" customFormat="1" ht="15">
      <c r="B38" s="36" t="s">
        <v>41</v>
      </c>
      <c r="C38" s="18"/>
      <c r="D38" s="42" t="s">
        <v>42</v>
      </c>
      <c r="E38" s="38">
        <v>-1871.818479466901</v>
      </c>
      <c r="F38" s="39">
        <v>-1625.7580661095244</v>
      </c>
      <c r="G38" s="39">
        <v>-1071.7243857364952</v>
      </c>
      <c r="H38" s="40">
        <v>-734.99000227995657</v>
      </c>
      <c r="I38" s="39">
        <v>-226.31292180755338</v>
      </c>
      <c r="J38" s="39">
        <v>81.37005996944896</v>
      </c>
      <c r="K38" s="39">
        <v>169.75756437605793</v>
      </c>
      <c r="L38" s="39">
        <v>248.64117051225259</v>
      </c>
      <c r="M38" s="39">
        <v>315.81345841611949</v>
      </c>
      <c r="N38" s="39">
        <v>361.37329205283584</v>
      </c>
      <c r="O38" s="39">
        <v>425.25663787912742</v>
      </c>
      <c r="P38" s="39">
        <v>562.76506179728642</v>
      </c>
      <c r="Q38" s="39">
        <v>692.33591202930972</v>
      </c>
      <c r="R38" s="39">
        <v>736.81212048991108</v>
      </c>
      <c r="S38" s="39">
        <v>764.15550743024608</v>
      </c>
      <c r="T38" s="65">
        <f>AVERAGE(E38:S38)</f>
        <v>-78.154871363188946</v>
      </c>
    </row>
    <row r="39" spans="2:20" s="3" customFormat="1" ht="15">
      <c r="B39" s="2"/>
      <c r="C39" s="18"/>
      <c r="D39" s="31"/>
      <c r="E39" s="20"/>
      <c r="F39" s="21"/>
      <c r="G39" s="21"/>
      <c r="H39" s="22"/>
      <c r="I39" s="23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20" ht="15" thickBot="1">
      <c r="B40" s="24" t="s">
        <v>43</v>
      </c>
      <c r="C40" s="24"/>
      <c r="D40" s="25" t="s">
        <v>44</v>
      </c>
      <c r="E40" s="26">
        <f>E34+E38</f>
        <v>5040.8853769082943</v>
      </c>
      <c r="F40" s="27">
        <f t="shared" ref="F40:S40" si="9">F34+F38</f>
        <v>3725.2685661571732</v>
      </c>
      <c r="G40" s="27">
        <f t="shared" si="9"/>
        <v>2827.7233026941703</v>
      </c>
      <c r="H40" s="28">
        <f t="shared" si="9"/>
        <v>2365.8559180249681</v>
      </c>
      <c r="I40" s="29">
        <f t="shared" si="9"/>
        <v>2179.2596326384746</v>
      </c>
      <c r="J40" s="27">
        <f t="shared" si="9"/>
        <v>1783.80675675979</v>
      </c>
      <c r="K40" s="27">
        <f t="shared" si="9"/>
        <v>1114.2537026064485</v>
      </c>
      <c r="L40" s="27">
        <f t="shared" si="9"/>
        <v>689.8765827725631</v>
      </c>
      <c r="M40" s="27">
        <f t="shared" si="9"/>
        <v>256.01272690338749</v>
      </c>
      <c r="N40" s="27">
        <f t="shared" si="9"/>
        <v>284.90663770889648</v>
      </c>
      <c r="O40" s="27">
        <f t="shared" si="9"/>
        <v>-152.23537919162038</v>
      </c>
      <c r="P40" s="27">
        <f t="shared" si="9"/>
        <v>-863.74835212091591</v>
      </c>
      <c r="Q40" s="27">
        <f t="shared" si="9"/>
        <v>-1770.7945687378278</v>
      </c>
      <c r="R40" s="27">
        <f t="shared" si="9"/>
        <v>-2563.1143683705764</v>
      </c>
      <c r="S40" s="27">
        <f t="shared" si="9"/>
        <v>-3306.6059550068931</v>
      </c>
    </row>
    <row r="41" spans="2:20" s="3" customFormat="1" ht="15">
      <c r="B41" s="2"/>
      <c r="C41" s="18"/>
      <c r="D41" s="31"/>
      <c r="E41" s="20"/>
      <c r="F41" s="21"/>
      <c r="G41" s="21"/>
      <c r="H41" s="22"/>
      <c r="I41" s="23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20" ht="15" thickBot="1">
      <c r="B42" s="24" t="s">
        <v>45</v>
      </c>
      <c r="C42" s="24"/>
      <c r="D42" s="25" t="s">
        <v>46</v>
      </c>
      <c r="E42" s="26">
        <f>E36+E38</f>
        <v>5040.8853769082943</v>
      </c>
      <c r="F42" s="27">
        <f t="shared" ref="F42:S42" si="10">F36+F38</f>
        <v>3725.2685661571732</v>
      </c>
      <c r="G42" s="27">
        <f t="shared" si="10"/>
        <v>2827.7233026941776</v>
      </c>
      <c r="H42" s="28">
        <f t="shared" si="10"/>
        <v>1365.8559180249681</v>
      </c>
      <c r="I42" s="29">
        <f t="shared" si="10"/>
        <v>179.25963263848223</v>
      </c>
      <c r="J42" s="27">
        <f t="shared" si="10"/>
        <v>-1216.1932432402023</v>
      </c>
      <c r="K42" s="27">
        <f t="shared" si="10"/>
        <v>-1885.746297393544</v>
      </c>
      <c r="L42" s="27">
        <f t="shared" si="10"/>
        <v>-2310.1234172274289</v>
      </c>
      <c r="M42" s="27">
        <f t="shared" si="10"/>
        <v>-2743.9872730966122</v>
      </c>
      <c r="N42" s="27">
        <f t="shared" si="10"/>
        <v>-2715.0933622911029</v>
      </c>
      <c r="O42" s="27">
        <f t="shared" si="10"/>
        <v>-3152.2353791916198</v>
      </c>
      <c r="P42" s="27">
        <f t="shared" si="10"/>
        <v>-3863.7483521209165</v>
      </c>
      <c r="Q42" s="27">
        <f t="shared" si="10"/>
        <v>-4770.7945687378287</v>
      </c>
      <c r="R42" s="27">
        <f t="shared" si="10"/>
        <v>-5563.1143683705777</v>
      </c>
      <c r="S42" s="27">
        <f t="shared" si="10"/>
        <v>-6306.605955006894</v>
      </c>
    </row>
    <row r="43" spans="2:20" s="3" customFormat="1" ht="15">
      <c r="B43" s="2"/>
      <c r="C43" s="18"/>
      <c r="D43" s="19"/>
      <c r="E43" s="20"/>
      <c r="F43" s="21"/>
      <c r="G43" s="21"/>
      <c r="H43" s="22"/>
      <c r="I43" s="5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20" s="36" customFormat="1" ht="13">
      <c r="B44" s="55" t="s">
        <v>57</v>
      </c>
      <c r="D44" s="56" t="s">
        <v>55</v>
      </c>
      <c r="E44" s="57">
        <f>E40-E8</f>
        <v>6101.845174374992</v>
      </c>
      <c r="F44" s="57">
        <f t="shared" ref="F44:S44" si="11">F40-F8</f>
        <v>5144.4647223670827</v>
      </c>
      <c r="G44" s="57">
        <f t="shared" si="11"/>
        <v>5401.8845949867118</v>
      </c>
      <c r="H44" s="57">
        <f t="shared" si="11"/>
        <v>5562.5334531862354</v>
      </c>
      <c r="I44" s="57">
        <f t="shared" si="11"/>
        <v>8933.6897304136146</v>
      </c>
      <c r="J44" s="57">
        <f t="shared" si="11"/>
        <v>9485.2056705994255</v>
      </c>
      <c r="K44" s="57">
        <f t="shared" si="11"/>
        <v>9537.1879714425486</v>
      </c>
      <c r="L44" s="57">
        <f t="shared" si="11"/>
        <v>9736.3423460310496</v>
      </c>
      <c r="M44" s="57">
        <f t="shared" si="11"/>
        <v>10103.562283614174</v>
      </c>
      <c r="N44" s="57">
        <f t="shared" si="11"/>
        <v>9471.5090148914969</v>
      </c>
      <c r="O44" s="57">
        <f t="shared" si="11"/>
        <v>9905.4673528761086</v>
      </c>
      <c r="P44" s="57">
        <f t="shared" si="11"/>
        <v>10060.35030350353</v>
      </c>
      <c r="Q44" s="57">
        <f t="shared" si="11"/>
        <v>9987.7645804106105</v>
      </c>
      <c r="R44" s="57">
        <f t="shared" si="11"/>
        <v>10287.774352582301</v>
      </c>
      <c r="S44" s="57">
        <f t="shared" si="11"/>
        <v>10990.251474384957</v>
      </c>
      <c r="T44" s="59">
        <f>AVERAGE(E44:S44)</f>
        <v>8713.9888683776571</v>
      </c>
    </row>
    <row r="45" spans="2:20" s="36" customFormat="1" ht="13">
      <c r="D45" s="37"/>
      <c r="T45" s="64"/>
    </row>
    <row r="46" spans="2:20" s="36" customFormat="1" ht="13">
      <c r="B46" s="55" t="s">
        <v>58</v>
      </c>
      <c r="D46" s="37" t="s">
        <v>54</v>
      </c>
      <c r="E46" s="57">
        <f>E42-E10</f>
        <v>9902.2091143749876</v>
      </c>
      <c r="F46" s="57">
        <f t="shared" ref="F46:S46" si="12">F42-F10</f>
        <v>10425.325602367062</v>
      </c>
      <c r="G46" s="57">
        <f t="shared" si="12"/>
        <v>10682.745474986734</v>
      </c>
      <c r="H46" s="57">
        <f t="shared" si="12"/>
        <v>9843.3943331862574</v>
      </c>
      <c r="I46" s="57">
        <f t="shared" si="12"/>
        <v>12214.55061041358</v>
      </c>
      <c r="J46" s="57">
        <f t="shared" si="12"/>
        <v>11766.066550599433</v>
      </c>
      <c r="K46" s="57">
        <f t="shared" si="12"/>
        <v>11818.048851442527</v>
      </c>
      <c r="L46" s="57">
        <f t="shared" si="12"/>
        <v>12017.203226031043</v>
      </c>
      <c r="M46" s="57">
        <f t="shared" si="12"/>
        <v>12384.423163614181</v>
      </c>
      <c r="N46" s="57">
        <f t="shared" si="12"/>
        <v>11752.369894891504</v>
      </c>
      <c r="O46" s="57">
        <f t="shared" si="12"/>
        <v>12186.328232876103</v>
      </c>
      <c r="P46" s="57">
        <f t="shared" si="12"/>
        <v>12341.211183503523</v>
      </c>
      <c r="Q46" s="57">
        <f t="shared" si="12"/>
        <v>12268.625460410602</v>
      </c>
      <c r="R46" s="57">
        <f t="shared" si="12"/>
        <v>12568.635232582292</v>
      </c>
      <c r="S46" s="57">
        <f t="shared" si="12"/>
        <v>13271.11235438495</v>
      </c>
      <c r="T46" s="59">
        <f>AVERAGE(E46:S46)</f>
        <v>11696.149952377649</v>
      </c>
    </row>
    <row r="47" spans="2:20" s="36" customFormat="1" ht="13">
      <c r="D47" s="37"/>
    </row>
    <row r="48" spans="2:20" s="36" customFormat="1" ht="13">
      <c r="B48" s="55" t="s">
        <v>59</v>
      </c>
      <c r="D48" s="37" t="s">
        <v>66</v>
      </c>
      <c r="E48" s="58">
        <f>E44/5100</f>
        <v>1.1964402302696062</v>
      </c>
      <c r="F48" s="58">
        <f t="shared" ref="F48:S48" si="13">F44/5100</f>
        <v>1.0087185730131534</v>
      </c>
      <c r="G48" s="58">
        <f t="shared" si="13"/>
        <v>1.0591930578405317</v>
      </c>
      <c r="H48" s="58">
        <f t="shared" si="13"/>
        <v>1.0906928339580855</v>
      </c>
      <c r="I48" s="58">
        <f t="shared" si="13"/>
        <v>1.751703868708552</v>
      </c>
      <c r="J48" s="58">
        <f t="shared" si="13"/>
        <v>1.8598442491371423</v>
      </c>
      <c r="K48" s="58">
        <f t="shared" si="13"/>
        <v>1.8700368571455979</v>
      </c>
      <c r="L48" s="58">
        <f t="shared" si="13"/>
        <v>1.9090867345158922</v>
      </c>
      <c r="M48" s="58">
        <f t="shared" si="13"/>
        <v>1.9810906438459164</v>
      </c>
      <c r="N48" s="58">
        <f t="shared" si="13"/>
        <v>1.8571586303708818</v>
      </c>
      <c r="O48" s="58">
        <f t="shared" si="13"/>
        <v>1.9422485005639429</v>
      </c>
      <c r="P48" s="58">
        <f t="shared" si="13"/>
        <v>1.9726177065693196</v>
      </c>
      <c r="Q48" s="58">
        <f t="shared" si="13"/>
        <v>1.9583852118452179</v>
      </c>
      <c r="R48" s="58">
        <f t="shared" si="13"/>
        <v>2.0172106573690787</v>
      </c>
      <c r="S48" s="58">
        <f t="shared" si="13"/>
        <v>2.1549512694872464</v>
      </c>
      <c r="T48" s="62">
        <f>AVERAGE(E48:S48)</f>
        <v>1.7086252683093441</v>
      </c>
    </row>
    <row r="49" spans="2:20" s="36" customFormat="1" ht="13">
      <c r="D49" s="37"/>
    </row>
    <row r="50" spans="2:20" s="36" customFormat="1" ht="13">
      <c r="B50" s="55" t="s">
        <v>60</v>
      </c>
      <c r="D50" s="37" t="s">
        <v>56</v>
      </c>
      <c r="E50" s="58">
        <f>E46/5100</f>
        <v>1.9416096302696053</v>
      </c>
      <c r="F50" s="58">
        <f t="shared" ref="F50:S50" si="14">F46/5100</f>
        <v>2.044181490660208</v>
      </c>
      <c r="G50" s="58">
        <f t="shared" si="14"/>
        <v>2.0946559754875951</v>
      </c>
      <c r="H50" s="58">
        <f t="shared" si="14"/>
        <v>1.9300773202325996</v>
      </c>
      <c r="I50" s="58">
        <f t="shared" si="14"/>
        <v>2.3950099236105058</v>
      </c>
      <c r="J50" s="58">
        <f t="shared" si="14"/>
        <v>2.3070718726665556</v>
      </c>
      <c r="K50" s="58">
        <f t="shared" si="14"/>
        <v>2.3172644806750053</v>
      </c>
      <c r="L50" s="58">
        <f t="shared" si="14"/>
        <v>2.3563143580453025</v>
      </c>
      <c r="M50" s="58">
        <f t="shared" si="14"/>
        <v>2.4283182673753299</v>
      </c>
      <c r="N50" s="58">
        <f t="shared" si="14"/>
        <v>2.3043862539002951</v>
      </c>
      <c r="O50" s="58">
        <f t="shared" si="14"/>
        <v>2.3894761240933535</v>
      </c>
      <c r="P50" s="58">
        <f t="shared" si="14"/>
        <v>2.4198453300987302</v>
      </c>
      <c r="Q50" s="58">
        <f t="shared" si="14"/>
        <v>2.4056128353746278</v>
      </c>
      <c r="R50" s="58">
        <f t="shared" si="14"/>
        <v>2.4644382808984884</v>
      </c>
      <c r="S50" s="58">
        <f t="shared" si="14"/>
        <v>2.6021788930166569</v>
      </c>
      <c r="T50" s="62">
        <f>AVERAGE(E50:S50)</f>
        <v>2.2933627357603239</v>
      </c>
    </row>
    <row r="51" spans="2:20" s="36" customFormat="1" ht="13">
      <c r="D51" s="37"/>
    </row>
    <row r="52" spans="2:20" s="36" customFormat="1" ht="13">
      <c r="B52" s="55" t="s">
        <v>68</v>
      </c>
      <c r="D52" s="37" t="s">
        <v>62</v>
      </c>
      <c r="E52" s="59">
        <f>(ABS(E38)+ABS(E32)+ABS(E20)+ABS(E14))</f>
        <v>9845.4821333087948</v>
      </c>
      <c r="F52" s="59">
        <f t="shared" ref="F52:S52" si="15">(ABS(F38)+ABS(F32)+ABS(F20)+ABS(F14))</f>
        <v>8395.9808545861306</v>
      </c>
      <c r="G52" s="59">
        <f t="shared" si="15"/>
        <v>7545.3333664597021</v>
      </c>
      <c r="H52" s="59">
        <f t="shared" si="15"/>
        <v>7032.5134577461486</v>
      </c>
      <c r="I52" s="59">
        <f t="shared" si="15"/>
        <v>9386.315574028722</v>
      </c>
      <c r="J52" s="59">
        <f t="shared" si="15"/>
        <v>9485.2056705994255</v>
      </c>
      <c r="K52" s="59">
        <f t="shared" si="15"/>
        <v>9537.1879714425486</v>
      </c>
      <c r="L52" s="59">
        <f t="shared" si="15"/>
        <v>9736.3423460310496</v>
      </c>
      <c r="M52" s="59">
        <f t="shared" si="15"/>
        <v>10103.562283614174</v>
      </c>
      <c r="N52" s="59">
        <f t="shared" si="15"/>
        <v>9471.5090148914969</v>
      </c>
      <c r="O52" s="59">
        <f t="shared" si="15"/>
        <v>9905.4673528761086</v>
      </c>
      <c r="P52" s="59">
        <f t="shared" si="15"/>
        <v>10060.35030350353</v>
      </c>
      <c r="Q52" s="59">
        <f t="shared" si="15"/>
        <v>9987.7645804106087</v>
      </c>
      <c r="R52" s="59">
        <f t="shared" si="15"/>
        <v>10287.774352582299</v>
      </c>
      <c r="S52" s="59">
        <f t="shared" si="15"/>
        <v>10990.251474384957</v>
      </c>
      <c r="T52" s="59">
        <f>AVERAGE(E52:S52)</f>
        <v>9451.4027157643795</v>
      </c>
    </row>
    <row r="53" spans="2:20" s="36" customFormat="1" ht="13">
      <c r="B53" s="55" t="s">
        <v>69</v>
      </c>
      <c r="D53" s="37" t="s">
        <v>70</v>
      </c>
      <c r="E53" s="59">
        <f>(ABS(E38)+ABS(E32)+ABS(E26)+ABS(E20)+ABS(E14))</f>
        <v>13645.84607330879</v>
      </c>
      <c r="F53" s="59">
        <f t="shared" ref="F53:S53" si="16">(ABS(F38)+ABS(F32)+ABS(F26)+ABS(F20)+ABS(F14))</f>
        <v>13676.841734586109</v>
      </c>
      <c r="G53" s="59">
        <f t="shared" si="16"/>
        <v>12826.194246459725</v>
      </c>
      <c r="H53" s="59">
        <f t="shared" si="16"/>
        <v>11313.374337746171</v>
      </c>
      <c r="I53" s="59">
        <f t="shared" si="16"/>
        <v>12667.176454028686</v>
      </c>
      <c r="J53" s="59">
        <f t="shared" si="16"/>
        <v>11766.066550599433</v>
      </c>
      <c r="K53" s="59">
        <f t="shared" si="16"/>
        <v>11818.048851442527</v>
      </c>
      <c r="L53" s="59">
        <f t="shared" si="16"/>
        <v>12017.203226031043</v>
      </c>
      <c r="M53" s="59">
        <f t="shared" si="16"/>
        <v>12384.423163614181</v>
      </c>
      <c r="N53" s="59">
        <f t="shared" si="16"/>
        <v>11752.369894891504</v>
      </c>
      <c r="O53" s="59">
        <f t="shared" si="16"/>
        <v>12186.328232876102</v>
      </c>
      <c r="P53" s="59">
        <f t="shared" si="16"/>
        <v>12341.211183503525</v>
      </c>
      <c r="Q53" s="59">
        <f t="shared" si="16"/>
        <v>12268.625460410603</v>
      </c>
      <c r="R53" s="59">
        <f t="shared" si="16"/>
        <v>12568.635232582292</v>
      </c>
      <c r="S53" s="59">
        <f t="shared" si="16"/>
        <v>13271.11235438495</v>
      </c>
      <c r="T53" s="59">
        <f>AVERAGE(E53:S53)</f>
        <v>12433.563799764375</v>
      </c>
    </row>
    <row r="54" spans="2:20" s="36" customFormat="1" ht="13">
      <c r="D54" s="37"/>
    </row>
    <row r="55" spans="2:20" s="36" customFormat="1" ht="13">
      <c r="C55" s="36" t="s">
        <v>76</v>
      </c>
      <c r="D55" s="37" t="s">
        <v>61</v>
      </c>
      <c r="E55" s="60">
        <f t="shared" ref="E55:S55" si="17">E14/E52</f>
        <v>0.41643465952053921</v>
      </c>
      <c r="F55" s="60">
        <f t="shared" si="17"/>
        <v>0.48832888866825608</v>
      </c>
      <c r="G55" s="60">
        <f t="shared" si="17"/>
        <v>0.54338222062198094</v>
      </c>
      <c r="H55" s="60">
        <f t="shared" si="17"/>
        <v>0.58300634966918496</v>
      </c>
      <c r="I55" s="60">
        <f t="shared" si="17"/>
        <v>0.75642033809785847</v>
      </c>
      <c r="J55" s="60">
        <f t="shared" si="17"/>
        <v>0.74853411160153682</v>
      </c>
      <c r="K55" s="60">
        <f t="shared" si="17"/>
        <v>0.74445423758656282</v>
      </c>
      <c r="L55" s="60">
        <f t="shared" si="17"/>
        <v>0.72922661792950039</v>
      </c>
      <c r="M55" s="60">
        <f t="shared" si="17"/>
        <v>0.70272244587581634</v>
      </c>
      <c r="N55" s="60">
        <f t="shared" si="17"/>
        <v>0.74961655939270999</v>
      </c>
      <c r="O55" s="60">
        <f t="shared" si="17"/>
        <v>0.71677587205801796</v>
      </c>
      <c r="P55" s="60">
        <f t="shared" si="17"/>
        <v>0.70574083265544096</v>
      </c>
      <c r="Q55" s="60">
        <f t="shared" si="17"/>
        <v>0.7108697790019507</v>
      </c>
      <c r="R55" s="60">
        <f t="shared" si="17"/>
        <v>0.6901395536749747</v>
      </c>
      <c r="S55" s="60">
        <f t="shared" si="17"/>
        <v>0.64602707377060586</v>
      </c>
      <c r="T55" s="61">
        <f>AVERAGE(E55:S55)</f>
        <v>0.66211196934166228</v>
      </c>
    </row>
    <row r="56" spans="2:20" s="36" customFormat="1" ht="13">
      <c r="C56" s="36" t="s">
        <v>80</v>
      </c>
      <c r="D56" s="37" t="s">
        <v>75</v>
      </c>
      <c r="E56" s="60">
        <f>E14/E53</f>
        <v>0.30045773475487025</v>
      </c>
      <c r="F56" s="60">
        <f t="shared" ref="F56:S56" si="18">F14/F53</f>
        <v>0.29977681101857651</v>
      </c>
      <c r="G56" s="60">
        <f t="shared" si="18"/>
        <v>0.3196583430140767</v>
      </c>
      <c r="H56" s="60">
        <f t="shared" si="18"/>
        <v>0.3624029292764297</v>
      </c>
      <c r="I56" s="60">
        <f t="shared" si="18"/>
        <v>0.56050375754747672</v>
      </c>
      <c r="J56" s="60">
        <f t="shared" si="18"/>
        <v>0.60343020919240709</v>
      </c>
      <c r="K56" s="60">
        <f t="shared" si="18"/>
        <v>0.60077599011899196</v>
      </c>
      <c r="L56" s="60">
        <f t="shared" si="18"/>
        <v>0.59081966631140503</v>
      </c>
      <c r="M56" s="60">
        <f t="shared" si="18"/>
        <v>0.57330082363949098</v>
      </c>
      <c r="N56" s="60">
        <f t="shared" si="18"/>
        <v>0.60413346954695613</v>
      </c>
      <c r="O56" s="60">
        <f t="shared" si="18"/>
        <v>0.58262011857236229</v>
      </c>
      <c r="P56" s="60">
        <f t="shared" si="18"/>
        <v>0.57530820066433652</v>
      </c>
      <c r="Q56" s="60">
        <f t="shared" si="18"/>
        <v>0.57871193663143894</v>
      </c>
      <c r="R56" s="60">
        <f t="shared" si="18"/>
        <v>0.56489824619894458</v>
      </c>
      <c r="S56" s="60">
        <f t="shared" si="18"/>
        <v>0.53499660091823931</v>
      </c>
      <c r="T56" s="61">
        <f>AVERAGE(E56:S56)</f>
        <v>0.51011965582706675</v>
      </c>
    </row>
    <row r="57" spans="2:20" s="36" customFormat="1" ht="13">
      <c r="D57" s="37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1"/>
    </row>
    <row r="58" spans="2:20" s="36" customFormat="1" ht="13">
      <c r="C58" s="36" t="s">
        <v>77</v>
      </c>
      <c r="D58" s="37" t="s">
        <v>63</v>
      </c>
      <c r="E58" s="60">
        <f t="shared" ref="E58:S58" si="19">(ABS(E38)+ABS(E20))/E52</f>
        <v>0.23101936722756367</v>
      </c>
      <c r="F58" s="60">
        <f t="shared" si="19"/>
        <v>0.23976783746220554</v>
      </c>
      <c r="G58" s="60">
        <f t="shared" si="19"/>
        <v>0.19769126291911474</v>
      </c>
      <c r="H58" s="60">
        <f t="shared" si="19"/>
        <v>0.18268791197746134</v>
      </c>
      <c r="I58" s="60">
        <f t="shared" si="19"/>
        <v>8.9503549827387757E-2</v>
      </c>
      <c r="J58" s="60">
        <f t="shared" si="19"/>
        <v>5.3899623119402121E-2</v>
      </c>
      <c r="K58" s="60">
        <f t="shared" si="19"/>
        <v>7.373704213141416E-2</v>
      </c>
      <c r="L58" s="60">
        <f t="shared" si="19"/>
        <v>8.8495455975059562E-2</v>
      </c>
      <c r="M58" s="60">
        <f t="shared" si="19"/>
        <v>0.12460521330825119</v>
      </c>
      <c r="N58" s="60">
        <f t="shared" si="19"/>
        <v>0.14137315761287711</v>
      </c>
      <c r="O58" s="60">
        <f t="shared" si="19"/>
        <v>0.13408561624293097</v>
      </c>
      <c r="P58" s="60">
        <f t="shared" si="19"/>
        <v>0.12411299808479567</v>
      </c>
      <c r="Q58" s="60">
        <f t="shared" si="19"/>
        <v>0.11751072657082187</v>
      </c>
      <c r="R58" s="60">
        <f t="shared" si="19"/>
        <v>0.11505646177244638</v>
      </c>
      <c r="S58" s="60">
        <f t="shared" si="19"/>
        <v>0.11019022688282464</v>
      </c>
      <c r="T58" s="61">
        <f>AVERAGE(E58:S58)</f>
        <v>0.13491576340763711</v>
      </c>
    </row>
    <row r="59" spans="2:20" s="36" customFormat="1" ht="13">
      <c r="C59" s="36" t="s">
        <v>80</v>
      </c>
      <c r="D59" s="37" t="s">
        <v>74</v>
      </c>
      <c r="E59" s="60">
        <f>(ABS(E38)+ABS(E20))/E53</f>
        <v>0.16668054441389213</v>
      </c>
      <c r="F59" s="60">
        <f t="shared" ref="F59:S59" si="20">(ABS(F38)+ABS(F20))/F53</f>
        <v>0.1471894032221992</v>
      </c>
      <c r="G59" s="60">
        <f t="shared" si="20"/>
        <v>0.11629688851569335</v>
      </c>
      <c r="H59" s="60">
        <f t="shared" si="20"/>
        <v>0.1135607433462674</v>
      </c>
      <c r="I59" s="60">
        <f t="shared" si="20"/>
        <v>6.6321691082820294E-2</v>
      </c>
      <c r="J59" s="60">
        <f t="shared" si="20"/>
        <v>4.3451140502794354E-2</v>
      </c>
      <c r="K59" s="60">
        <f t="shared" si="20"/>
        <v>5.9505933687153158E-2</v>
      </c>
      <c r="L59" s="60">
        <f t="shared" si="20"/>
        <v>7.1699050039771145E-2</v>
      </c>
      <c r="M59" s="60">
        <f t="shared" si="20"/>
        <v>0.10165645318239762</v>
      </c>
      <c r="N59" s="60">
        <f t="shared" si="20"/>
        <v>0.11393592515974869</v>
      </c>
      <c r="O59" s="60">
        <f t="shared" si="20"/>
        <v>0.10898940753962956</v>
      </c>
      <c r="P59" s="60">
        <f t="shared" si="20"/>
        <v>0.10117485386038411</v>
      </c>
      <c r="Q59" s="60">
        <f t="shared" si="20"/>
        <v>9.5664300491498613E-2</v>
      </c>
      <c r="R59" s="60">
        <f t="shared" si="20"/>
        <v>9.4176885128541318E-2</v>
      </c>
      <c r="S59" s="60">
        <f t="shared" si="20"/>
        <v>9.1252207887580733E-2</v>
      </c>
      <c r="T59" s="61">
        <f>AVERAGE(E59:S59)</f>
        <v>9.9437028537358099E-2</v>
      </c>
    </row>
    <row r="60" spans="2:20" s="36" customFormat="1" ht="13">
      <c r="D60" s="37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1"/>
    </row>
    <row r="61" spans="2:20" s="36" customFormat="1" ht="13">
      <c r="C61" s="36" t="s">
        <v>78</v>
      </c>
      <c r="D61" s="37" t="s">
        <v>64</v>
      </c>
      <c r="E61" s="60">
        <f t="shared" ref="E61:S61" si="21">ABS(E32)/E52</f>
        <v>0.35254597325189702</v>
      </c>
      <c r="F61" s="60">
        <f t="shared" si="21"/>
        <v>0.27190327386953844</v>
      </c>
      <c r="G61" s="60">
        <f t="shared" si="21"/>
        <v>0.2589265164589043</v>
      </c>
      <c r="H61" s="60">
        <f t="shared" si="21"/>
        <v>0.23430573835335364</v>
      </c>
      <c r="I61" s="60">
        <f t="shared" si="21"/>
        <v>0.15407611207475383</v>
      </c>
      <c r="J61" s="60">
        <f t="shared" si="21"/>
        <v>0.1975662652790611</v>
      </c>
      <c r="K61" s="60">
        <f t="shared" si="21"/>
        <v>0.18180872028202297</v>
      </c>
      <c r="L61" s="60">
        <f t="shared" si="21"/>
        <v>0.18227792609543997</v>
      </c>
      <c r="M61" s="60">
        <f t="shared" si="21"/>
        <v>0.17267234081593255</v>
      </c>
      <c r="N61" s="60">
        <f t="shared" si="21"/>
        <v>0.10901028299441289</v>
      </c>
      <c r="O61" s="60">
        <f t="shared" si="21"/>
        <v>0.14913851169905112</v>
      </c>
      <c r="P61" s="60">
        <f t="shared" si="21"/>
        <v>0.17014616925976334</v>
      </c>
      <c r="Q61" s="60">
        <f t="shared" si="21"/>
        <v>0.17161949442722749</v>
      </c>
      <c r="R61" s="60">
        <f t="shared" si="21"/>
        <v>0.19480398455257897</v>
      </c>
      <c r="S61" s="60">
        <f t="shared" si="21"/>
        <v>0.24378269934656951</v>
      </c>
      <c r="T61" s="61">
        <f>AVERAGE(E61:S61)</f>
        <v>0.20297226725070044</v>
      </c>
    </row>
    <row r="62" spans="2:20" s="36" customFormat="1" ht="13">
      <c r="C62" s="36" t="s">
        <v>80</v>
      </c>
      <c r="D62" s="37" t="s">
        <v>73</v>
      </c>
      <c r="E62" s="60">
        <f>ABS(E32)/E53</f>
        <v>0.25436202798819069</v>
      </c>
      <c r="F62" s="60">
        <f t="shared" ref="F62:S62" si="22">ABS(F32)/F53</f>
        <v>0.16691680184723726</v>
      </c>
      <c r="G62" s="60">
        <f t="shared" si="22"/>
        <v>0.15232007613153084</v>
      </c>
      <c r="H62" s="60">
        <f t="shared" si="22"/>
        <v>0.14564693158781933</v>
      </c>
      <c r="I62" s="60">
        <f t="shared" si="22"/>
        <v>0.11416964274568886</v>
      </c>
      <c r="J62" s="60">
        <f t="shared" si="22"/>
        <v>0.15926789566294186</v>
      </c>
      <c r="K62" s="60">
        <f t="shared" si="22"/>
        <v>0.14671998415080378</v>
      </c>
      <c r="L62" s="60">
        <f t="shared" si="22"/>
        <v>0.14768164082849519</v>
      </c>
      <c r="M62" s="60">
        <f t="shared" si="22"/>
        <v>0.14087097372584409</v>
      </c>
      <c r="N62" s="60">
        <f t="shared" si="22"/>
        <v>8.7853929661136379E-2</v>
      </c>
      <c r="O62" s="60">
        <f t="shared" si="22"/>
        <v>0.1212249194721409</v>
      </c>
      <c r="P62" s="60">
        <f t="shared" si="22"/>
        <v>0.13870033014591709</v>
      </c>
      <c r="Q62" s="60">
        <f t="shared" si="22"/>
        <v>0.13971370413738848</v>
      </c>
      <c r="R62" s="60">
        <f t="shared" si="22"/>
        <v>0.1594524305125456</v>
      </c>
      <c r="S62" s="60">
        <f t="shared" si="22"/>
        <v>0.20188459711426726</v>
      </c>
      <c r="T62" s="61">
        <f>AVERAGE(E62:S62)</f>
        <v>0.15178572571412982</v>
      </c>
    </row>
    <row r="63" spans="2:20" s="36" customFormat="1" ht="13">
      <c r="D63" s="37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1"/>
    </row>
    <row r="64" spans="2:20" s="36" customFormat="1" ht="13">
      <c r="C64" s="36" t="s">
        <v>79</v>
      </c>
      <c r="D64" s="37" t="s">
        <v>72</v>
      </c>
      <c r="E64" s="60">
        <f>(ABS(E26))/E53</f>
        <v>0.27849969284304688</v>
      </c>
      <c r="F64" s="60">
        <f t="shared" ref="F64:S64" si="23">(ABS(F26))/F53</f>
        <v>0.38611698391198712</v>
      </c>
      <c r="G64" s="60">
        <f t="shared" si="23"/>
        <v>0.41172469233869902</v>
      </c>
      <c r="H64" s="60">
        <f t="shared" si="23"/>
        <v>0.37838939578948355</v>
      </c>
      <c r="I64" s="60">
        <f t="shared" si="23"/>
        <v>0.25900490862401421</v>
      </c>
      <c r="J64" s="60">
        <f t="shared" si="23"/>
        <v>0.19385075464185667</v>
      </c>
      <c r="K64" s="60">
        <f t="shared" si="23"/>
        <v>0.19299809204305104</v>
      </c>
      <c r="L64" s="60">
        <f t="shared" si="23"/>
        <v>0.18979964282032863</v>
      </c>
      <c r="M64" s="60">
        <f t="shared" si="23"/>
        <v>0.18417174945226739</v>
      </c>
      <c r="N64" s="60">
        <f t="shared" si="23"/>
        <v>0.19407667563215886</v>
      </c>
      <c r="O64" s="60">
        <f t="shared" si="23"/>
        <v>0.18716555441586738</v>
      </c>
      <c r="P64" s="60">
        <f t="shared" si="23"/>
        <v>0.18481661532936214</v>
      </c>
      <c r="Q64" s="60">
        <f t="shared" si="23"/>
        <v>0.18591005873967381</v>
      </c>
      <c r="R64" s="60">
        <f t="shared" si="23"/>
        <v>0.18147243815996864</v>
      </c>
      <c r="S64" s="60">
        <f t="shared" si="23"/>
        <v>0.17186659407991273</v>
      </c>
      <c r="T64" s="61">
        <f>AVERAGE(E64:S64)</f>
        <v>0.23865758992144526</v>
      </c>
    </row>
    <row r="65" spans="4:20" s="36" customFormat="1" ht="13">
      <c r="D65" s="37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1"/>
    </row>
    <row r="66" spans="4:20">
      <c r="D66" s="43" t="s">
        <v>67</v>
      </c>
      <c r="E66" s="53">
        <f>E55+E58+E61</f>
        <v>0.99999999999999978</v>
      </c>
      <c r="F66" s="53">
        <f t="shared" ref="F66:S66" si="24">F55+F58+F61</f>
        <v>1</v>
      </c>
      <c r="G66" s="53">
        <f t="shared" si="24"/>
        <v>1</v>
      </c>
      <c r="H66" s="53">
        <f t="shared" si="24"/>
        <v>1</v>
      </c>
      <c r="I66" s="53">
        <f t="shared" si="24"/>
        <v>1</v>
      </c>
      <c r="J66" s="53">
        <f t="shared" si="24"/>
        <v>1</v>
      </c>
      <c r="K66" s="53">
        <f t="shared" si="24"/>
        <v>1</v>
      </c>
      <c r="L66" s="53">
        <f t="shared" si="24"/>
        <v>1</v>
      </c>
      <c r="M66" s="53">
        <f t="shared" si="24"/>
        <v>1</v>
      </c>
      <c r="N66" s="53">
        <f t="shared" si="24"/>
        <v>1</v>
      </c>
      <c r="O66" s="53">
        <f t="shared" si="24"/>
        <v>1</v>
      </c>
      <c r="P66" s="53">
        <f t="shared" si="24"/>
        <v>1</v>
      </c>
      <c r="Q66" s="53">
        <f t="shared" si="24"/>
        <v>1</v>
      </c>
      <c r="R66" s="53">
        <f t="shared" si="24"/>
        <v>1</v>
      </c>
      <c r="S66" s="53">
        <f t="shared" si="24"/>
        <v>1</v>
      </c>
      <c r="T66" s="54"/>
    </row>
    <row r="67" spans="4:20">
      <c r="E67" s="54">
        <f>E56+E59+E62+E64</f>
        <v>0.99999999999999989</v>
      </c>
      <c r="F67" s="54">
        <f t="shared" ref="F67:S67" si="25">F56+F59+F62+F64</f>
        <v>1</v>
      </c>
      <c r="G67" s="54">
        <f t="shared" si="25"/>
        <v>0.99999999999999989</v>
      </c>
      <c r="H67" s="54">
        <f t="shared" si="25"/>
        <v>1</v>
      </c>
      <c r="I67" s="54">
        <f t="shared" si="25"/>
        <v>1</v>
      </c>
      <c r="J67" s="54">
        <f t="shared" si="25"/>
        <v>0.99999999999999989</v>
      </c>
      <c r="K67" s="54">
        <f t="shared" si="25"/>
        <v>1</v>
      </c>
      <c r="L67" s="54">
        <f t="shared" si="25"/>
        <v>1</v>
      </c>
      <c r="M67" s="54">
        <f t="shared" si="25"/>
        <v>1</v>
      </c>
      <c r="N67" s="54">
        <f t="shared" si="25"/>
        <v>1</v>
      </c>
      <c r="O67" s="54">
        <f t="shared" si="25"/>
        <v>1.0000000000000002</v>
      </c>
      <c r="P67" s="54">
        <f t="shared" si="25"/>
        <v>0.99999999999999989</v>
      </c>
      <c r="Q67" s="54">
        <f t="shared" si="25"/>
        <v>0.99999999999999989</v>
      </c>
      <c r="R67" s="54">
        <f t="shared" si="25"/>
        <v>1</v>
      </c>
      <c r="S67" s="54">
        <f t="shared" si="25"/>
        <v>1</v>
      </c>
    </row>
  </sheetData>
  <mergeCells count="1">
    <mergeCell ref="Q1:R1"/>
  </mergeCells>
  <pageMargins left="0.25" right="0.25" top="0.75" bottom="0.75" header="0.3" footer="0.3"/>
  <pageSetup paperSize="17" scale="6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Energy LRB Changes</vt:lpstr>
      <vt:lpstr>LRB 2011 and 2013 estimates</vt:lpstr>
      <vt:lpstr>difference 2013-2011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Fane</dc:creator>
  <cp:lastModifiedBy>Roberta Franchuk</cp:lastModifiedBy>
  <dcterms:created xsi:type="dcterms:W3CDTF">2013-10-08T20:46:34Z</dcterms:created>
  <dcterms:modified xsi:type="dcterms:W3CDTF">2013-10-18T22:25:24Z</dcterms:modified>
</cp:coreProperties>
</file>